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chartsheets/sheet3.xml" ContentType="application/vnd.openxmlformats-officedocument.spreadsheetml.chartsheet+xml"/>
  <Override PartName="/xl/chartsheets/sheet4.xml" ContentType="application/vnd.openxmlformats-officedocument.spreadsheetml.chartsheet+xml"/>
  <Override PartName="/xl/chartsheets/sheet5.xml" ContentType="application/vnd.openxmlformats-officedocument.spreadsheetml.chartsheet+xml"/>
  <Override PartName="/xl/chartsheets/sheet6.xml" ContentType="application/vnd.openxmlformats-officedocument.spreadsheetml.chartsheet+xml"/>
  <Override PartName="/xl/chartsheets/sheet7.xml" ContentType="application/vnd.openxmlformats-officedocument.spreadsheetml.chartsheet+xml"/>
  <Override PartName="/xl/chartsheets/sheet8.xml" ContentType="application/vnd.openxmlformats-officedocument.spreadsheetml.chartsheet+xml"/>
  <Override PartName="/xl/chartsheets/sheet9.xml" ContentType="application/vnd.openxmlformats-officedocument.spreadsheetml.chart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drawings/drawing6.xml" ContentType="application/vnd.openxmlformats-officedocument.drawingml.chartshapes+xml"/>
  <Override PartName="/xl/drawings/drawing7.xml" ContentType="application/vnd.openxmlformats-officedocument.drawing+xml"/>
  <Override PartName="/xl/charts/chart4.xml" ContentType="application/vnd.openxmlformats-officedocument.drawingml.chart+xml"/>
  <Override PartName="/xl/drawings/drawing8.xml" ContentType="application/vnd.openxmlformats-officedocument.drawingml.chartshapes+xml"/>
  <Override PartName="/xl/drawings/drawing9.xml" ContentType="application/vnd.openxmlformats-officedocument.drawing+xml"/>
  <Override PartName="/xl/charts/chart5.xml" ContentType="application/vnd.openxmlformats-officedocument.drawingml.chart+xml"/>
  <Override PartName="/xl/drawings/drawing10.xml" ContentType="application/vnd.openxmlformats-officedocument.drawingml.chartshapes+xml"/>
  <Override PartName="/xl/drawings/drawing11.xml" ContentType="application/vnd.openxmlformats-officedocument.drawing+xml"/>
  <Override PartName="/xl/charts/chart6.xml" ContentType="application/vnd.openxmlformats-officedocument.drawingml.chart+xml"/>
  <Override PartName="/xl/drawings/drawing12.xml" ContentType="application/vnd.openxmlformats-officedocument.drawingml.chartshapes+xml"/>
  <Override PartName="/xl/drawings/drawing13.xml" ContentType="application/vnd.openxmlformats-officedocument.drawing+xml"/>
  <Override PartName="/xl/charts/chart7.xml" ContentType="application/vnd.openxmlformats-officedocument.drawingml.chart+xml"/>
  <Override PartName="/xl/drawings/drawing14.xml" ContentType="application/vnd.openxmlformats-officedocument.drawingml.chartshapes+xml"/>
  <Override PartName="/xl/drawings/drawing15.xml" ContentType="application/vnd.openxmlformats-officedocument.drawing+xml"/>
  <Override PartName="/xl/charts/chart8.xml" ContentType="application/vnd.openxmlformats-officedocument.drawingml.chart+xml"/>
  <Override PartName="/xl/drawings/drawing16.xml" ContentType="application/vnd.openxmlformats-officedocument.drawingml.chartshapes+xml"/>
  <Override PartName="/xl/drawings/drawing17.xml" ContentType="application/vnd.openxmlformats-officedocument.drawing+xml"/>
  <Override PartName="/xl/charts/chart9.xml" ContentType="application/vnd.openxmlformats-officedocument.drawingml.chart+xml"/>
  <Override PartName="/xl/drawings/drawing18.xml" ContentType="application/vnd.openxmlformats-officedocument.drawingml.chartshapes+xml"/>
  <Override PartName="/xl/drawings/drawing19.xml" ContentType="application/vnd.openxmlformats-officedocument.drawing+xml"/>
  <Override PartName="/xl/charts/chart10.xml" ContentType="application/vnd.openxmlformats-officedocument.drawingml.chart+xml"/>
  <Override PartName="/xl/drawings/drawing20.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showInkAnnotation="0" codeName="ThisWorkbook" autoCompressPictures="0"/>
  <mc:AlternateContent xmlns:mc="http://schemas.openxmlformats.org/markup-compatibility/2006">
    <mc:Choice Requires="x15">
      <x15ac:absPath xmlns:x15ac="http://schemas.microsoft.com/office/spreadsheetml/2010/11/ac" url="C:\Users\thoma\OneDrive\Documents\"/>
    </mc:Choice>
  </mc:AlternateContent>
  <xr:revisionPtr revIDLastSave="0" documentId="8_{D34833EA-F643-408C-8543-2A1F178E01BA}" xr6:coauthVersionLast="47" xr6:coauthVersionMax="47" xr10:uidLastSave="{00000000-0000-0000-0000-000000000000}"/>
  <bookViews>
    <workbookView xWindow="-110" yWindow="-110" windowWidth="19420" windowHeight="10420" tabRatio="884" activeTab="1" xr2:uid="{00000000-000D-0000-FFFF-FFFF00000000}"/>
  </bookViews>
  <sheets>
    <sheet name="Instructions" sheetId="65" r:id="rId1"/>
    <sheet name="Amphibole P-T calcs" sheetId="52" r:id="rId2"/>
    <sheet name="Amph exchg components" sheetId="53" r:id="rId3"/>
    <sheet name="Amph Class. Leake et al." sheetId="67" r:id="rId4"/>
    <sheet name="Tri Plot 1" sheetId="60" r:id="rId5"/>
    <sheet name="Tri Plot 2" sheetId="62" r:id="rId6"/>
    <sheet name="Tri Plot 3" sheetId="55" r:id="rId7"/>
    <sheet name="Tri Plot 4" sheetId="63" r:id="rId8"/>
    <sheet name="Tri Plot 5" sheetId="59" r:id="rId9"/>
    <sheet name="Tri Plot 6" sheetId="64" r:id="rId10"/>
    <sheet name="Tri Plot 7" sheetId="58" r:id="rId11"/>
    <sheet name="Tri Plot 8" sheetId="61" r:id="rId12"/>
    <sheet name="End-member comp calcs" sheetId="57" r:id="rId13"/>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W3" i="52" l="1"/>
  <c r="AW4" i="52"/>
  <c r="AW5" i="52"/>
  <c r="AW6" i="52"/>
  <c r="AW2" i="52"/>
  <c r="DS7" i="52" l="1"/>
  <c r="DJ16" i="52"/>
  <c r="EG16" i="52" s="1"/>
  <c r="DK16" i="52"/>
  <c r="EH16" i="52" s="1"/>
  <c r="DL16" i="52"/>
  <c r="EI16" i="52" s="1"/>
  <c r="DM6" i="52"/>
  <c r="DM16" i="52" s="1"/>
  <c r="DN16" i="52"/>
  <c r="EL16" i="52" s="1"/>
  <c r="DO16" i="52"/>
  <c r="EM16" i="52" s="1"/>
  <c r="DP16" i="52"/>
  <c r="EN16" i="52"/>
  <c r="DQ16" i="52"/>
  <c r="EO16" i="52" s="1"/>
  <c r="DR16" i="52"/>
  <c r="EP16" i="52" s="1"/>
  <c r="DS16" i="52"/>
  <c r="EQ16" i="52" s="1"/>
  <c r="DR7" i="52"/>
  <c r="ED18" i="52"/>
  <c r="CC16" i="52"/>
  <c r="BT16" i="52"/>
  <c r="BU16" i="52"/>
  <c r="BV16" i="52"/>
  <c r="CC6" i="52"/>
  <c r="BW16" i="52" s="1"/>
  <c r="BX16" i="52"/>
  <c r="BY16" i="52"/>
  <c r="BZ16" i="52"/>
  <c r="CA16" i="52"/>
  <c r="CB16" i="52"/>
  <c r="CD6" i="52"/>
  <c r="Q16" i="52"/>
  <c r="CE6" i="52"/>
  <c r="CE27" i="52" s="1"/>
  <c r="DJ7" i="52"/>
  <c r="DK7" i="52"/>
  <c r="DP7" i="52"/>
  <c r="EB35" i="52" s="1"/>
  <c r="DL7" i="52"/>
  <c r="DW28" i="52" s="1"/>
  <c r="DJ17" i="52"/>
  <c r="EG17" i="52" s="1"/>
  <c r="DK17" i="52"/>
  <c r="EH17" i="52" s="1"/>
  <c r="DL17" i="52"/>
  <c r="EI17" i="52" s="1"/>
  <c r="DN17" i="52"/>
  <c r="EL17" i="52" s="1"/>
  <c r="DO17" i="52"/>
  <c r="EM17" i="52" s="1"/>
  <c r="DP17" i="52"/>
  <c r="EN17" i="52"/>
  <c r="DQ17" i="52"/>
  <c r="EO17" i="52" s="1"/>
  <c r="DR17" i="52"/>
  <c r="EP17" i="52" s="1"/>
  <c r="DS17" i="52"/>
  <c r="EQ17" i="52" s="1"/>
  <c r="ED17" i="52"/>
  <c r="CC17" i="52"/>
  <c r="BT17" i="52"/>
  <c r="BU17" i="52"/>
  <c r="BV17" i="52"/>
  <c r="BX17" i="52"/>
  <c r="BY17" i="52"/>
  <c r="BZ17" i="52"/>
  <c r="CA17" i="52"/>
  <c r="CB17" i="52"/>
  <c r="Q17" i="52"/>
  <c r="DV17" i="52"/>
  <c r="DJ18" i="52"/>
  <c r="EG18" i="52" s="1"/>
  <c r="DK18" i="52"/>
  <c r="EH18" i="52" s="1"/>
  <c r="DL18" i="52"/>
  <c r="EI18" i="52" s="1"/>
  <c r="DM18" i="52"/>
  <c r="EJ18" i="52" s="1"/>
  <c r="DN18" i="52"/>
  <c r="EL18" i="52" s="1"/>
  <c r="DO18" i="52"/>
  <c r="EM18" i="52" s="1"/>
  <c r="DP18" i="52"/>
  <c r="EN18" i="52"/>
  <c r="DQ18" i="52"/>
  <c r="EO18" i="52" s="1"/>
  <c r="DR18" i="52"/>
  <c r="EP18" i="52" s="1"/>
  <c r="DS18" i="52"/>
  <c r="EQ18" i="52" s="1"/>
  <c r="CC18" i="52"/>
  <c r="BT18" i="52"/>
  <c r="BU18" i="52"/>
  <c r="BV18" i="52"/>
  <c r="BX18" i="52"/>
  <c r="BY18" i="52"/>
  <c r="BZ18" i="52"/>
  <c r="CA18" i="52"/>
  <c r="CB18" i="52"/>
  <c r="DV18" i="52"/>
  <c r="DJ15" i="52"/>
  <c r="EG15" i="52"/>
  <c r="DK15" i="52"/>
  <c r="EH15" i="52" s="1"/>
  <c r="DL15" i="52"/>
  <c r="EI15" i="52" s="1"/>
  <c r="DN15" i="52"/>
  <c r="EL15" i="52"/>
  <c r="DO15" i="52"/>
  <c r="EM15" i="52"/>
  <c r="DP15" i="52"/>
  <c r="EN15" i="52" s="1"/>
  <c r="DQ15" i="52"/>
  <c r="EO15" i="52" s="1"/>
  <c r="DR15" i="52"/>
  <c r="EP15" i="52"/>
  <c r="DS15" i="52"/>
  <c r="EQ15" i="52"/>
  <c r="DV15" i="52"/>
  <c r="ED15" i="52"/>
  <c r="BX15" i="52"/>
  <c r="BT15" i="52"/>
  <c r="BU15" i="52"/>
  <c r="BV15" i="52"/>
  <c r="BY15" i="52"/>
  <c r="BZ15" i="52"/>
  <c r="CA15" i="52"/>
  <c r="CB15" i="52"/>
  <c r="CC15" i="52"/>
  <c r="DJ19" i="52"/>
  <c r="EG19" i="52"/>
  <c r="DK19" i="52"/>
  <c r="EH19" i="52"/>
  <c r="DL19" i="52"/>
  <c r="EI19" i="52"/>
  <c r="DM19" i="52"/>
  <c r="EJ19" i="52"/>
  <c r="DN19" i="52"/>
  <c r="EL19" i="52"/>
  <c r="DO19" i="52"/>
  <c r="EM19" i="52"/>
  <c r="DP19" i="52"/>
  <c r="EN19" i="52"/>
  <c r="DQ19" i="52"/>
  <c r="EO19" i="52"/>
  <c r="DR19" i="52"/>
  <c r="EP19" i="52"/>
  <c r="DS19" i="52"/>
  <c r="EQ19" i="52"/>
  <c r="BV19" i="52"/>
  <c r="BT19" i="52"/>
  <c r="CG19" i="52" s="1"/>
  <c r="DB19" i="52" s="1"/>
  <c r="BU19" i="52"/>
  <c r="BW19" i="52"/>
  <c r="BX19" i="52"/>
  <c r="BY19" i="52"/>
  <c r="BZ19" i="52"/>
  <c r="CA19" i="52"/>
  <c r="CB19" i="52"/>
  <c r="CC19" i="52"/>
  <c r="CD19" i="52"/>
  <c r="DZ16" i="52"/>
  <c r="DZ17" i="52"/>
  <c r="DZ18" i="52"/>
  <c r="DV19" i="52"/>
  <c r="DZ19" i="52"/>
  <c r="ED19" i="52"/>
  <c r="EE19" i="52"/>
  <c r="DZ15" i="52"/>
  <c r="BT20" i="52"/>
  <c r="BU20" i="52"/>
  <c r="BV20" i="52"/>
  <c r="BW20" i="52"/>
  <c r="BX20" i="52"/>
  <c r="BY20" i="52"/>
  <c r="BZ20" i="52"/>
  <c r="CA20" i="52"/>
  <c r="CB20" i="52"/>
  <c r="CC20" i="52"/>
  <c r="CD20" i="52"/>
  <c r="DZ20" i="52"/>
  <c r="DJ20" i="52"/>
  <c r="EG20" i="52" s="1"/>
  <c r="DK20" i="52"/>
  <c r="DL20" i="52"/>
  <c r="EI20" i="52" s="1"/>
  <c r="DM20" i="52"/>
  <c r="EJ20" i="52" s="1"/>
  <c r="DN20" i="52"/>
  <c r="EL20" i="52" s="1"/>
  <c r="DO20" i="52"/>
  <c r="EM20" i="52" s="1"/>
  <c r="DP20" i="52"/>
  <c r="EN20" i="52" s="1"/>
  <c r="DQ20" i="52"/>
  <c r="EO20" i="52" s="1"/>
  <c r="DR20" i="52"/>
  <c r="EP20" i="52" s="1"/>
  <c r="DS20" i="52"/>
  <c r="EQ20" i="52" s="1"/>
  <c r="BT21" i="52"/>
  <c r="BU21" i="52"/>
  <c r="BV21" i="52"/>
  <c r="BW21" i="52"/>
  <c r="BX21" i="52"/>
  <c r="BY21" i="52"/>
  <c r="BZ21" i="52"/>
  <c r="CA21" i="52"/>
  <c r="CB21" i="52"/>
  <c r="CC21" i="52"/>
  <c r="CD21" i="52"/>
  <c r="DZ21" i="52"/>
  <c r="DJ21" i="52"/>
  <c r="EG21" i="52"/>
  <c r="DK21" i="52"/>
  <c r="EH21" i="52" s="1"/>
  <c r="DL21" i="52"/>
  <c r="EI21" i="52" s="1"/>
  <c r="DN21" i="52"/>
  <c r="EL21" i="52" s="1"/>
  <c r="DO21" i="52"/>
  <c r="EM21" i="52" s="1"/>
  <c r="DP21" i="52"/>
  <c r="EN21" i="52" s="1"/>
  <c r="DQ21" i="52"/>
  <c r="EO21" i="52" s="1"/>
  <c r="DR21" i="52"/>
  <c r="EP21" i="52" s="1"/>
  <c r="DS21" i="52"/>
  <c r="EQ21" i="52" s="1"/>
  <c r="DV21" i="52"/>
  <c r="BT22" i="52"/>
  <c r="BU22" i="52"/>
  <c r="BV22" i="52"/>
  <c r="BW22" i="52"/>
  <c r="BX22" i="52"/>
  <c r="BY22" i="52"/>
  <c r="BZ22" i="52"/>
  <c r="CA22" i="52"/>
  <c r="CB22" i="52"/>
  <c r="CC22" i="52"/>
  <c r="CD22" i="52"/>
  <c r="DZ22" i="52"/>
  <c r="DJ22" i="52"/>
  <c r="EG22" i="52" s="1"/>
  <c r="DK22" i="52"/>
  <c r="DL22" i="52"/>
  <c r="EI22" i="52" s="1"/>
  <c r="DM22" i="52"/>
  <c r="EJ22" i="52" s="1"/>
  <c r="DN22" i="52"/>
  <c r="EL22" i="52" s="1"/>
  <c r="DO22" i="52"/>
  <c r="EM22" i="52" s="1"/>
  <c r="DP22" i="52"/>
  <c r="EN22" i="52" s="1"/>
  <c r="DQ22" i="52"/>
  <c r="EO22" i="52" s="1"/>
  <c r="DR22" i="52"/>
  <c r="EP22" i="52" s="1"/>
  <c r="DS22" i="52"/>
  <c r="EQ22" i="52"/>
  <c r="BT23" i="52"/>
  <c r="BU23" i="52"/>
  <c r="BV23" i="52"/>
  <c r="BW23" i="52"/>
  <c r="BX23" i="52"/>
  <c r="BY23" i="52"/>
  <c r="BZ23" i="52"/>
  <c r="CA23" i="52"/>
  <c r="CG23" i="52" s="1"/>
  <c r="CB23" i="52"/>
  <c r="CC23" i="52"/>
  <c r="CD23" i="52"/>
  <c r="DZ23" i="52"/>
  <c r="DJ23" i="52"/>
  <c r="EG23" i="52" s="1"/>
  <c r="DK23" i="52"/>
  <c r="EH23" i="52" s="1"/>
  <c r="DL23" i="52"/>
  <c r="EI23" i="52"/>
  <c r="DN23" i="52"/>
  <c r="EL23" i="52"/>
  <c r="DO23" i="52"/>
  <c r="EM23" i="52" s="1"/>
  <c r="DP23" i="52"/>
  <c r="EN23" i="52" s="1"/>
  <c r="DQ23" i="52"/>
  <c r="EO23" i="52" s="1"/>
  <c r="DR23" i="52"/>
  <c r="EP23" i="52"/>
  <c r="DS23" i="52"/>
  <c r="EQ23" i="52" s="1"/>
  <c r="DV23" i="52"/>
  <c r="BT24" i="52"/>
  <c r="BU24" i="52"/>
  <c r="BV24" i="52"/>
  <c r="BW24" i="52"/>
  <c r="BX24" i="52"/>
  <c r="BY24" i="52"/>
  <c r="BZ24" i="52"/>
  <c r="CA24" i="52"/>
  <c r="CB24" i="52"/>
  <c r="CC24" i="52"/>
  <c r="CD24" i="52"/>
  <c r="DZ24" i="52"/>
  <c r="DJ24" i="52"/>
  <c r="EG24" i="52"/>
  <c r="DK24" i="52"/>
  <c r="EH24" i="52" s="1"/>
  <c r="DL24" i="52"/>
  <c r="EI24" i="52"/>
  <c r="DM24" i="52"/>
  <c r="EJ24" i="52" s="1"/>
  <c r="DN24" i="52"/>
  <c r="EL24" i="52" s="1"/>
  <c r="DO24" i="52"/>
  <c r="EM24" i="52" s="1"/>
  <c r="DP24" i="52"/>
  <c r="EN24" i="52" s="1"/>
  <c r="DQ24" i="52"/>
  <c r="EO24" i="52" s="1"/>
  <c r="DR24" i="52"/>
  <c r="EP24" i="52" s="1"/>
  <c r="DS24" i="52"/>
  <c r="EQ24" i="52"/>
  <c r="BT25" i="52"/>
  <c r="BU25" i="52"/>
  <c r="BV25" i="52"/>
  <c r="BW25" i="52"/>
  <c r="BX25" i="52"/>
  <c r="BY25" i="52"/>
  <c r="BZ25" i="52"/>
  <c r="CA25" i="52"/>
  <c r="CB25" i="52"/>
  <c r="CC25" i="52"/>
  <c r="CD25" i="52"/>
  <c r="DZ25" i="52"/>
  <c r="DJ25" i="52"/>
  <c r="EG25" i="52" s="1"/>
  <c r="DK25" i="52"/>
  <c r="EH25" i="52" s="1"/>
  <c r="DL25" i="52"/>
  <c r="EI25" i="52" s="1"/>
  <c r="DM25" i="52"/>
  <c r="DN25" i="52"/>
  <c r="EL25" i="52" s="1"/>
  <c r="DO25" i="52"/>
  <c r="EM25" i="52"/>
  <c r="DP25" i="52"/>
  <c r="EN25" i="52" s="1"/>
  <c r="DQ25" i="52"/>
  <c r="EO25" i="52" s="1"/>
  <c r="DR25" i="52"/>
  <c r="EP25" i="52" s="1"/>
  <c r="DS25" i="52"/>
  <c r="EQ25" i="52" s="1"/>
  <c r="DV25" i="52"/>
  <c r="BT26" i="52"/>
  <c r="BU26" i="52"/>
  <c r="BV26" i="52"/>
  <c r="BW26" i="52"/>
  <c r="BX26" i="52"/>
  <c r="BY26" i="52"/>
  <c r="BZ26" i="52"/>
  <c r="CA26" i="52"/>
  <c r="CB26" i="52"/>
  <c r="CC26" i="52"/>
  <c r="CD26" i="52"/>
  <c r="DZ26" i="52"/>
  <c r="DJ26" i="52"/>
  <c r="EG26" i="52"/>
  <c r="DK26" i="52"/>
  <c r="EH26" i="52" s="1"/>
  <c r="DL26" i="52"/>
  <c r="EI26" i="52" s="1"/>
  <c r="DM26" i="52"/>
  <c r="DN26" i="52"/>
  <c r="EL26" i="52"/>
  <c r="DO26" i="52"/>
  <c r="EM26" i="52" s="1"/>
  <c r="DP26" i="52"/>
  <c r="EN26" i="52" s="1"/>
  <c r="DQ26" i="52"/>
  <c r="EO26" i="52" s="1"/>
  <c r="DR26" i="52"/>
  <c r="EP26" i="52" s="1"/>
  <c r="DS26" i="52"/>
  <c r="EQ26" i="52" s="1"/>
  <c r="BT27" i="52"/>
  <c r="BU27" i="52"/>
  <c r="BV27" i="52"/>
  <c r="BW27" i="52"/>
  <c r="BX27" i="52"/>
  <c r="BY27" i="52"/>
  <c r="BZ27" i="52"/>
  <c r="CA27" i="52"/>
  <c r="CB27" i="52"/>
  <c r="CC27" i="52"/>
  <c r="DZ27" i="52"/>
  <c r="DJ27" i="52"/>
  <c r="EG27" i="52"/>
  <c r="DK27" i="52"/>
  <c r="EH27" i="52" s="1"/>
  <c r="DL27" i="52"/>
  <c r="DM27" i="52"/>
  <c r="EJ27" i="52" s="1"/>
  <c r="DN27" i="52"/>
  <c r="EL27" i="52"/>
  <c r="DO27" i="52"/>
  <c r="EM27" i="52" s="1"/>
  <c r="DP27" i="52"/>
  <c r="EN27" i="52" s="1"/>
  <c r="DQ27" i="52"/>
  <c r="EO27" i="52" s="1"/>
  <c r="DR27" i="52"/>
  <c r="EP27" i="52" s="1"/>
  <c r="DS27" i="52"/>
  <c r="EQ27" i="52" s="1"/>
  <c r="DV27" i="52"/>
  <c r="BT28" i="52"/>
  <c r="BU28" i="52"/>
  <c r="BV28" i="52"/>
  <c r="BW28" i="52"/>
  <c r="BX28" i="52"/>
  <c r="BY28" i="52"/>
  <c r="BZ28" i="52"/>
  <c r="CA28" i="52"/>
  <c r="CB28" i="52"/>
  <c r="CC28" i="52"/>
  <c r="CD28" i="52"/>
  <c r="DZ28" i="52"/>
  <c r="DJ28" i="52"/>
  <c r="EG28" i="52" s="1"/>
  <c r="DK28" i="52"/>
  <c r="EH28" i="52" s="1"/>
  <c r="DL28" i="52"/>
  <c r="EI28" i="52" s="1"/>
  <c r="DM28" i="52"/>
  <c r="EJ28" i="52" s="1"/>
  <c r="DN28" i="52"/>
  <c r="EL28" i="52"/>
  <c r="DO28" i="52"/>
  <c r="EM28" i="52" s="1"/>
  <c r="DP28" i="52"/>
  <c r="EN28" i="52" s="1"/>
  <c r="DQ28" i="52"/>
  <c r="EO28" i="52" s="1"/>
  <c r="DR28" i="52"/>
  <c r="EP28" i="52" s="1"/>
  <c r="DS28" i="52"/>
  <c r="EQ28" i="52" s="1"/>
  <c r="DV28" i="52"/>
  <c r="BT29" i="52"/>
  <c r="BU29" i="52"/>
  <c r="BV29" i="52"/>
  <c r="BW29" i="52"/>
  <c r="BX29" i="52"/>
  <c r="BY29" i="52"/>
  <c r="BZ29" i="52"/>
  <c r="CA29" i="52"/>
  <c r="CB29" i="52"/>
  <c r="CC29" i="52"/>
  <c r="DZ29" i="52"/>
  <c r="DJ29" i="52"/>
  <c r="DK29" i="52"/>
  <c r="EH29" i="52" s="1"/>
  <c r="DL29" i="52"/>
  <c r="EI29" i="52" s="1"/>
  <c r="DM29" i="52"/>
  <c r="EJ29" i="52" s="1"/>
  <c r="DN29" i="52"/>
  <c r="EL29" i="52" s="1"/>
  <c r="DO29" i="52"/>
  <c r="EM29" i="52" s="1"/>
  <c r="DP29" i="52"/>
  <c r="EN29" i="52" s="1"/>
  <c r="DQ29" i="52"/>
  <c r="EO29" i="52" s="1"/>
  <c r="DR29" i="52"/>
  <c r="EP29" i="52" s="1"/>
  <c r="DS29" i="52"/>
  <c r="EQ29" i="52" s="1"/>
  <c r="DV29" i="52"/>
  <c r="BT30" i="52"/>
  <c r="BU30" i="52"/>
  <c r="BV30" i="52"/>
  <c r="BW30" i="52"/>
  <c r="BX30" i="52"/>
  <c r="BY30" i="52"/>
  <c r="BZ30" i="52"/>
  <c r="CA30" i="52"/>
  <c r="CB30" i="52"/>
  <c r="CC30" i="52"/>
  <c r="DZ30" i="52"/>
  <c r="DJ30" i="52"/>
  <c r="EG30" i="52" s="1"/>
  <c r="DK30" i="52"/>
  <c r="EH30" i="52" s="1"/>
  <c r="DL30" i="52"/>
  <c r="EI30" i="52"/>
  <c r="DN30" i="52"/>
  <c r="EL30" i="52" s="1"/>
  <c r="DO30" i="52"/>
  <c r="EM30" i="52" s="1"/>
  <c r="DP30" i="52"/>
  <c r="EN30" i="52" s="1"/>
  <c r="DQ30" i="52"/>
  <c r="EO30" i="52" s="1"/>
  <c r="DR30" i="52"/>
  <c r="EP30" i="52" s="1"/>
  <c r="DS30" i="52"/>
  <c r="EQ30" i="52" s="1"/>
  <c r="DV30" i="52"/>
  <c r="BT31" i="52"/>
  <c r="BU31" i="52"/>
  <c r="BV31" i="52"/>
  <c r="BW31" i="52"/>
  <c r="BX31" i="52"/>
  <c r="BY31" i="52"/>
  <c r="BZ31" i="52"/>
  <c r="CA31" i="52"/>
  <c r="CB31" i="52"/>
  <c r="CC31" i="52"/>
  <c r="DZ31" i="52"/>
  <c r="DJ31" i="52"/>
  <c r="EG31" i="52" s="1"/>
  <c r="DK31" i="52"/>
  <c r="EH31" i="52" s="1"/>
  <c r="DL31" i="52"/>
  <c r="EI31" i="52" s="1"/>
  <c r="DN31" i="52"/>
  <c r="EL31" i="52" s="1"/>
  <c r="DO31" i="52"/>
  <c r="EM31" i="52"/>
  <c r="DP31" i="52"/>
  <c r="EN31" i="52" s="1"/>
  <c r="DQ31" i="52"/>
  <c r="EO31" i="52" s="1"/>
  <c r="DR31" i="52"/>
  <c r="EP31" i="52" s="1"/>
  <c r="DS31" i="52"/>
  <c r="EQ31" i="52" s="1"/>
  <c r="DV31" i="52"/>
  <c r="CE32" i="52"/>
  <c r="BT32" i="52"/>
  <c r="BU32" i="52"/>
  <c r="BV32" i="52"/>
  <c r="BW32" i="52"/>
  <c r="CG32" i="52" s="1"/>
  <c r="BX32" i="52"/>
  <c r="BY32" i="52"/>
  <c r="BZ32" i="52"/>
  <c r="CA32" i="52"/>
  <c r="CB32" i="52"/>
  <c r="CC32" i="52"/>
  <c r="CD32" i="52"/>
  <c r="DZ32" i="52"/>
  <c r="DJ32" i="52"/>
  <c r="EG32" i="52" s="1"/>
  <c r="DK32" i="52"/>
  <c r="DL32" i="52"/>
  <c r="EI32" i="52" s="1"/>
  <c r="DM32" i="52"/>
  <c r="EJ32" i="52" s="1"/>
  <c r="DN32" i="52"/>
  <c r="EL32" i="52" s="1"/>
  <c r="DO32" i="52"/>
  <c r="EM32" i="52" s="1"/>
  <c r="DP32" i="52"/>
  <c r="EN32" i="52" s="1"/>
  <c r="DQ32" i="52"/>
  <c r="EO32" i="52" s="1"/>
  <c r="DR32" i="52"/>
  <c r="EP32" i="52" s="1"/>
  <c r="DS32" i="52"/>
  <c r="EQ32" i="52" s="1"/>
  <c r="DV32" i="52"/>
  <c r="CE33" i="52"/>
  <c r="BT33" i="52"/>
  <c r="BU33" i="52"/>
  <c r="BV33" i="52"/>
  <c r="BW33" i="52"/>
  <c r="BX33" i="52"/>
  <c r="BY33" i="52"/>
  <c r="BZ33" i="52"/>
  <c r="CA33" i="52"/>
  <c r="CB33" i="52"/>
  <c r="CC33" i="52"/>
  <c r="DZ33" i="52"/>
  <c r="DJ33" i="52"/>
  <c r="EG33" i="52" s="1"/>
  <c r="DK33" i="52"/>
  <c r="DL33" i="52"/>
  <c r="EI33" i="52" s="1"/>
  <c r="DM33" i="52"/>
  <c r="EJ33" i="52" s="1"/>
  <c r="DN33" i="52"/>
  <c r="EL33" i="52" s="1"/>
  <c r="DO33" i="52"/>
  <c r="EM33" i="52" s="1"/>
  <c r="DP33" i="52"/>
  <c r="EN33" i="52" s="1"/>
  <c r="DQ33" i="52"/>
  <c r="EO33" i="52" s="1"/>
  <c r="DR33" i="52"/>
  <c r="EP33" i="52" s="1"/>
  <c r="DS33" i="52"/>
  <c r="EQ33" i="52" s="1"/>
  <c r="DV33" i="52"/>
  <c r="BT34" i="52"/>
  <c r="BU34" i="52"/>
  <c r="BV34" i="52"/>
  <c r="BW34" i="52"/>
  <c r="BX34" i="52"/>
  <c r="BY34" i="52"/>
  <c r="BZ34" i="52"/>
  <c r="CA34" i="52"/>
  <c r="CB34" i="52"/>
  <c r="CC34" i="52"/>
  <c r="DZ34" i="52"/>
  <c r="DJ34" i="52"/>
  <c r="EG34" i="52"/>
  <c r="DK34" i="52"/>
  <c r="EH34" i="52"/>
  <c r="DL34" i="52"/>
  <c r="EI34" i="52" s="1"/>
  <c r="DM34" i="52"/>
  <c r="EJ34" i="52" s="1"/>
  <c r="DN34" i="52"/>
  <c r="EL34" i="52"/>
  <c r="DO34" i="52"/>
  <c r="EM34" i="52"/>
  <c r="DP34" i="52"/>
  <c r="EN34" i="52" s="1"/>
  <c r="DQ34" i="52"/>
  <c r="EO34" i="52" s="1"/>
  <c r="DR34" i="52"/>
  <c r="EP34" i="52"/>
  <c r="DS34" i="52"/>
  <c r="EQ34" i="52"/>
  <c r="DV34" i="52"/>
  <c r="BT35" i="52"/>
  <c r="BU35" i="52"/>
  <c r="BV35" i="52"/>
  <c r="BW35" i="52"/>
  <c r="BX35" i="52"/>
  <c r="BY35" i="52"/>
  <c r="BZ35" i="52"/>
  <c r="CA35" i="52"/>
  <c r="CF35" i="52" s="1"/>
  <c r="CB35" i="52"/>
  <c r="CC35" i="52"/>
  <c r="CD35" i="52"/>
  <c r="DZ35" i="52"/>
  <c r="DJ35" i="52"/>
  <c r="EG35" i="52" s="1"/>
  <c r="DK35" i="52"/>
  <c r="DL35" i="52"/>
  <c r="EI35" i="52"/>
  <c r="DM35" i="52"/>
  <c r="EJ35" i="52" s="1"/>
  <c r="DN35" i="52"/>
  <c r="EL35" i="52" s="1"/>
  <c r="DO35" i="52"/>
  <c r="EM35" i="52" s="1"/>
  <c r="DP35" i="52"/>
  <c r="EN35" i="52"/>
  <c r="DQ35" i="52"/>
  <c r="EO35" i="52" s="1"/>
  <c r="DR35" i="52"/>
  <c r="EP35" i="52" s="1"/>
  <c r="DS35" i="52"/>
  <c r="EQ35" i="52" s="1"/>
  <c r="DV35" i="52"/>
  <c r="CE36" i="52"/>
  <c r="BT36" i="52"/>
  <c r="BU36" i="52"/>
  <c r="BV36" i="52"/>
  <c r="BW36" i="52"/>
  <c r="BX36" i="52"/>
  <c r="BY36" i="52"/>
  <c r="BZ36" i="52"/>
  <c r="CA36" i="52"/>
  <c r="CB36" i="52"/>
  <c r="CC36" i="52"/>
  <c r="CD36" i="52"/>
  <c r="DZ36" i="52"/>
  <c r="DJ36" i="52"/>
  <c r="DK36" i="52"/>
  <c r="EH36" i="52" s="1"/>
  <c r="DL36" i="52"/>
  <c r="EI36" i="52"/>
  <c r="DM36" i="52"/>
  <c r="EJ36" i="52" s="1"/>
  <c r="DN36" i="52"/>
  <c r="EL36" i="52" s="1"/>
  <c r="DO36" i="52"/>
  <c r="EM36" i="52" s="1"/>
  <c r="DP36" i="52"/>
  <c r="EN36" i="52" s="1"/>
  <c r="DQ36" i="52"/>
  <c r="EO36" i="52" s="1"/>
  <c r="DR36" i="52"/>
  <c r="EP36" i="52" s="1"/>
  <c r="DS36" i="52"/>
  <c r="EQ36" i="52" s="1"/>
  <c r="DV36" i="52"/>
  <c r="ED20" i="52"/>
  <c r="AD16" i="57"/>
  <c r="AD17" i="57"/>
  <c r="AD18" i="57"/>
  <c r="AD19" i="57"/>
  <c r="AD20" i="57"/>
  <c r="AD21" i="57"/>
  <c r="AD22" i="57"/>
  <c r="AD23" i="57"/>
  <c r="AD24" i="57"/>
  <c r="AD25" i="57"/>
  <c r="AD26" i="57"/>
  <c r="AD15" i="57"/>
  <c r="BF26" i="57"/>
  <c r="BM26" i="57" s="1"/>
  <c r="BT26" i="57" s="1"/>
  <c r="BF25" i="57"/>
  <c r="BM25" i="57" s="1"/>
  <c r="BT25" i="57" s="1"/>
  <c r="BF24" i="57"/>
  <c r="BM24" i="57"/>
  <c r="BT24" i="57" s="1"/>
  <c r="BF23" i="57"/>
  <c r="BM23" i="57" s="1"/>
  <c r="BT23" i="57" s="1"/>
  <c r="BF22" i="57"/>
  <c r="BM22" i="57" s="1"/>
  <c r="BT22" i="57" s="1"/>
  <c r="BF21" i="57"/>
  <c r="BM21" i="57" s="1"/>
  <c r="BT21" i="57" s="1"/>
  <c r="BF20" i="57"/>
  <c r="BM20" i="57" s="1"/>
  <c r="BT20" i="57" s="1"/>
  <c r="BF19" i="57"/>
  <c r="BM19" i="57" s="1"/>
  <c r="BT19" i="57" s="1"/>
  <c r="BF18" i="57"/>
  <c r="BM18" i="57" s="1"/>
  <c r="BT18" i="57" s="1"/>
  <c r="BF17" i="57"/>
  <c r="BM17" i="57" s="1"/>
  <c r="BT17" i="57" s="1"/>
  <c r="BF16" i="57"/>
  <c r="BM16" i="57" s="1"/>
  <c r="BT16" i="57" s="1"/>
  <c r="BF15" i="57"/>
  <c r="BM15" i="57" s="1"/>
  <c r="BT15" i="57" s="1"/>
  <c r="W16" i="57"/>
  <c r="W17" i="57"/>
  <c r="W18" i="57"/>
  <c r="W19" i="57"/>
  <c r="W20" i="57"/>
  <c r="W21" i="57"/>
  <c r="W22" i="57"/>
  <c r="W23" i="57"/>
  <c r="W24" i="57"/>
  <c r="W25" i="57"/>
  <c r="W26" i="57"/>
  <c r="W15" i="57"/>
  <c r="AK16" i="57"/>
  <c r="AK17" i="57"/>
  <c r="AK18" i="57"/>
  <c r="AK19" i="57"/>
  <c r="AK20" i="57"/>
  <c r="AK21" i="57"/>
  <c r="AK22" i="57"/>
  <c r="AK23" i="57"/>
  <c r="AK24" i="57"/>
  <c r="AK25" i="57"/>
  <c r="AK26" i="57"/>
  <c r="AK15" i="57"/>
  <c r="DJ15" i="57"/>
  <c r="CV15" i="57" s="1"/>
  <c r="A35" i="53"/>
  <c r="B35" i="53"/>
  <c r="A36" i="53"/>
  <c r="B36" i="53"/>
  <c r="CF35" i="53"/>
  <c r="DO7" i="52"/>
  <c r="DQ7" i="52"/>
  <c r="EC35" i="52" s="1"/>
  <c r="EC36" i="52"/>
  <c r="CF36" i="53"/>
  <c r="EB36" i="52"/>
  <c r="M16" i="57"/>
  <c r="M17" i="57"/>
  <c r="M18" i="57"/>
  <c r="M19" i="57"/>
  <c r="M20" i="57"/>
  <c r="M21" i="57"/>
  <c r="M22" i="57"/>
  <c r="M23" i="57"/>
  <c r="M24" i="57"/>
  <c r="M25" i="57"/>
  <c r="M26" i="57"/>
  <c r="M15" i="57"/>
  <c r="CS15" i="57"/>
  <c r="CW15" i="57"/>
  <c r="DJ16" i="57"/>
  <c r="CQ16" i="57" s="1"/>
  <c r="DJ17" i="57"/>
  <c r="CQ17" i="57" s="1"/>
  <c r="DJ18" i="57"/>
  <c r="CX18" i="57" s="1"/>
  <c r="DJ19" i="57"/>
  <c r="CX19" i="57" s="1"/>
  <c r="DJ20" i="57"/>
  <c r="CW20" i="57" s="1"/>
  <c r="CX20" i="57"/>
  <c r="DJ21" i="57"/>
  <c r="CS21" i="57" s="1"/>
  <c r="DJ22" i="57"/>
  <c r="DJ23" i="57"/>
  <c r="CX23" i="57" s="1"/>
  <c r="DJ24" i="57"/>
  <c r="CR24" i="57" s="1"/>
  <c r="DJ25" i="57"/>
  <c r="CV25" i="57" s="1"/>
  <c r="CX25" i="57"/>
  <c r="DJ26" i="57"/>
  <c r="CV26" i="57" s="1"/>
  <c r="CX26" i="57"/>
  <c r="CW18" i="57"/>
  <c r="CW22" i="57"/>
  <c r="CV17" i="57"/>
  <c r="CV18" i="57"/>
  <c r="CV19" i="57"/>
  <c r="CV20" i="57"/>
  <c r="CV24" i="57"/>
  <c r="CS17" i="57"/>
  <c r="CQ18" i="57"/>
  <c r="CR18" i="57"/>
  <c r="CS18" i="57"/>
  <c r="CT18" i="57"/>
  <c r="CR19" i="57"/>
  <c r="CQ20" i="57"/>
  <c r="CR20" i="57"/>
  <c r="CS20" i="57"/>
  <c r="CT20" i="57"/>
  <c r="CQ22" i="57"/>
  <c r="CR22" i="57"/>
  <c r="CS22" i="57"/>
  <c r="CT22" i="57"/>
  <c r="CR23" i="57"/>
  <c r="CQ24" i="57"/>
  <c r="CS24" i="57"/>
  <c r="CT24" i="57"/>
  <c r="CQ25" i="57"/>
  <c r="CR25" i="57"/>
  <c r="CQ26" i="57"/>
  <c r="CR26" i="57"/>
  <c r="CS26" i="57"/>
  <c r="CF26" i="57"/>
  <c r="EB26" i="52"/>
  <c r="EC26" i="52"/>
  <c r="CF25" i="57"/>
  <c r="EB25" i="52"/>
  <c r="EC25" i="52"/>
  <c r="EE25" i="52"/>
  <c r="CF24" i="57"/>
  <c r="EB24" i="52"/>
  <c r="EC24" i="52"/>
  <c r="CF23" i="57"/>
  <c r="EB23" i="52"/>
  <c r="CF22" i="57"/>
  <c r="EB22" i="52"/>
  <c r="EC22" i="52"/>
  <c r="CF21" i="57"/>
  <c r="EB21" i="52"/>
  <c r="EC21" i="52"/>
  <c r="EE21" i="52"/>
  <c r="CF20" i="57"/>
  <c r="EB20" i="52"/>
  <c r="EC20" i="52"/>
  <c r="CF19" i="57"/>
  <c r="EB19" i="52"/>
  <c r="EC19" i="52"/>
  <c r="CF18" i="57"/>
  <c r="EC18" i="52"/>
  <c r="CF17" i="57"/>
  <c r="EC17" i="52"/>
  <c r="CF16" i="57"/>
  <c r="EC16" i="52"/>
  <c r="CF15" i="57"/>
  <c r="DJ13" i="57"/>
  <c r="DI13" i="57"/>
  <c r="DH13" i="57"/>
  <c r="DG13" i="57"/>
  <c r="DF13" i="57"/>
  <c r="DE13" i="57"/>
  <c r="DD13" i="57"/>
  <c r="DC13" i="57"/>
  <c r="DJ12" i="57"/>
  <c r="DI12" i="57"/>
  <c r="DH12" i="57"/>
  <c r="DF12" i="57"/>
  <c r="DE12" i="57"/>
  <c r="DD12" i="57"/>
  <c r="DJ11" i="57"/>
  <c r="DH11" i="57"/>
  <c r="DF11" i="57"/>
  <c r="DD11" i="57"/>
  <c r="DH10" i="57"/>
  <c r="DD10" i="57"/>
  <c r="DJ9" i="57"/>
  <c r="DI9" i="57"/>
  <c r="DH9" i="57"/>
  <c r="DF9" i="57"/>
  <c r="DE9" i="57"/>
  <c r="DD9" i="57"/>
  <c r="AJ9" i="57"/>
  <c r="AI9" i="57"/>
  <c r="DJ7" i="57"/>
  <c r="DI7" i="57"/>
  <c r="DH7" i="57"/>
  <c r="DG7" i="57"/>
  <c r="DF7" i="57"/>
  <c r="DE7" i="57"/>
  <c r="DD7" i="57"/>
  <c r="DC7" i="57"/>
  <c r="AJ8" i="57"/>
  <c r="AI8" i="57"/>
  <c r="DJ6" i="57"/>
  <c r="DI6" i="57"/>
  <c r="DH6" i="57"/>
  <c r="DG6" i="57"/>
  <c r="DF6" i="57"/>
  <c r="DE6" i="57"/>
  <c r="DD6" i="57"/>
  <c r="DC6" i="57"/>
  <c r="AJ7" i="57"/>
  <c r="AI7" i="57"/>
  <c r="DJ5" i="57"/>
  <c r="DI5" i="57"/>
  <c r="DH5" i="57"/>
  <c r="DG5" i="57"/>
  <c r="DF5" i="57"/>
  <c r="DE5" i="57"/>
  <c r="DD5" i="57"/>
  <c r="DC5" i="57"/>
  <c r="AJ6" i="57"/>
  <c r="AI6" i="57"/>
  <c r="DJ4" i="57"/>
  <c r="DI4" i="57"/>
  <c r="DH4" i="57"/>
  <c r="DG4" i="57"/>
  <c r="DF4" i="57"/>
  <c r="DE4" i="57"/>
  <c r="DD4" i="57"/>
  <c r="DC4" i="57"/>
  <c r="AJ5" i="57"/>
  <c r="AI5" i="57"/>
  <c r="DD3" i="57"/>
  <c r="DJ2" i="57"/>
  <c r="DI2" i="57"/>
  <c r="DH2" i="57"/>
  <c r="DG2" i="57"/>
  <c r="DF2" i="57"/>
  <c r="DE2" i="57"/>
  <c r="DD2" i="57"/>
  <c r="DC2" i="57"/>
  <c r="U3" i="57" a="1"/>
  <c r="X3" i="57" s="1"/>
  <c r="CF16" i="53"/>
  <c r="CF17" i="53"/>
  <c r="CF18" i="53"/>
  <c r="CF19" i="53"/>
  <c r="CF20" i="53"/>
  <c r="CF21" i="53"/>
  <c r="CF22" i="53"/>
  <c r="CF23" i="53"/>
  <c r="CF24" i="53"/>
  <c r="CF25" i="53"/>
  <c r="CF26" i="53"/>
  <c r="CF27" i="53"/>
  <c r="EB27" i="52"/>
  <c r="CF28" i="53"/>
  <c r="EB28" i="52"/>
  <c r="CF29" i="53"/>
  <c r="EB29" i="52"/>
  <c r="DU30" i="52"/>
  <c r="DW30" i="52"/>
  <c r="CF30" i="53"/>
  <c r="EB30" i="52"/>
  <c r="CF31" i="53"/>
  <c r="EB31" i="52"/>
  <c r="CF32" i="53"/>
  <c r="EB32" i="52"/>
  <c r="CF33" i="53"/>
  <c r="EB33" i="52"/>
  <c r="DU34" i="52"/>
  <c r="CF34" i="53"/>
  <c r="EB34" i="52"/>
  <c r="CF15" i="53"/>
  <c r="EC27" i="52"/>
  <c r="EE27" i="52"/>
  <c r="EC28" i="52"/>
  <c r="EC29" i="52"/>
  <c r="EE29" i="52"/>
  <c r="EC30" i="52"/>
  <c r="EC31" i="52"/>
  <c r="EE31" i="52"/>
  <c r="EC32" i="52"/>
  <c r="EC33" i="52"/>
  <c r="EE33" i="52"/>
  <c r="EC34" i="52"/>
  <c r="A16" i="53"/>
  <c r="B16" i="53"/>
  <c r="A17" i="53"/>
  <c r="B17" i="53"/>
  <c r="A18" i="53"/>
  <c r="B18" i="53"/>
  <c r="A19" i="53"/>
  <c r="B19" i="53"/>
  <c r="A20" i="53"/>
  <c r="B20" i="53"/>
  <c r="A21" i="53"/>
  <c r="B21" i="53"/>
  <c r="A22" i="53"/>
  <c r="B22" i="53"/>
  <c r="A23" i="53"/>
  <c r="B23" i="53"/>
  <c r="A24" i="53"/>
  <c r="B24" i="53"/>
  <c r="A25" i="53"/>
  <c r="B25" i="53"/>
  <c r="A26" i="53"/>
  <c r="B26" i="53"/>
  <c r="A27" i="53"/>
  <c r="B27" i="53"/>
  <c r="A28" i="53"/>
  <c r="B28" i="53"/>
  <c r="A29" i="53"/>
  <c r="B29" i="53"/>
  <c r="A30" i="53"/>
  <c r="B30" i="53"/>
  <c r="A31" i="53"/>
  <c r="B31" i="53"/>
  <c r="A32" i="53"/>
  <c r="B32" i="53"/>
  <c r="A33" i="53"/>
  <c r="B33" i="53"/>
  <c r="A34" i="53"/>
  <c r="B34" i="53"/>
  <c r="B15" i="53"/>
  <c r="A15" i="53"/>
  <c r="U3" i="53" a="1"/>
  <c r="U3" i="53" s="1"/>
  <c r="AJ9" i="53"/>
  <c r="AI9" i="53"/>
  <c r="AJ8" i="53"/>
  <c r="AI8" i="53"/>
  <c r="AJ7" i="53"/>
  <c r="AI7" i="53"/>
  <c r="AJ6" i="53"/>
  <c r="AI6" i="53"/>
  <c r="AJ5" i="53"/>
  <c r="AI5" i="53"/>
  <c r="BV7" i="52"/>
  <c r="DT19" i="52"/>
  <c r="CE7" i="52"/>
  <c r="DT6" i="52"/>
  <c r="DT7" i="52" s="1"/>
  <c r="CD7" i="52"/>
  <c r="CC7" i="52"/>
  <c r="CB7" i="52"/>
  <c r="CA7" i="52"/>
  <c r="BZ7" i="52"/>
  <c r="BY7" i="52"/>
  <c r="BX7" i="52"/>
  <c r="BW7" i="52"/>
  <c r="BU7" i="52"/>
  <c r="BT7" i="52"/>
  <c r="DD8" i="57"/>
  <c r="CX17" i="57"/>
  <c r="CW17" i="57"/>
  <c r="CT26" i="57"/>
  <c r="CT25" i="57"/>
  <c r="CT23" i="57"/>
  <c r="CT17" i="57"/>
  <c r="CW25" i="57"/>
  <c r="CE30" i="52"/>
  <c r="CE34" i="52"/>
  <c r="CE31" i="52"/>
  <c r="CE35" i="52"/>
  <c r="CE17" i="52"/>
  <c r="Q18" i="52"/>
  <c r="CE18" i="52" s="1"/>
  <c r="DW19" i="52"/>
  <c r="ED21" i="52"/>
  <c r="EB17" i="52"/>
  <c r="EB18" i="52"/>
  <c r="EB15" i="52"/>
  <c r="EB16" i="52"/>
  <c r="ED36" i="52"/>
  <c r="ED35" i="52"/>
  <c r="ED34" i="52"/>
  <c r="ED33" i="52"/>
  <c r="ED32" i="52"/>
  <c r="ED31" i="52"/>
  <c r="ED30" i="52"/>
  <c r="ED29" i="52"/>
  <c r="ED28" i="52"/>
  <c r="ED27" i="52"/>
  <c r="ED26" i="52"/>
  <c r="ED25" i="52"/>
  <c r="ED24" i="52"/>
  <c r="ED23" i="52"/>
  <c r="ED22" i="52"/>
  <c r="CE29" i="52"/>
  <c r="CE28" i="52"/>
  <c r="ED16" i="52"/>
  <c r="DV16" i="52"/>
  <c r="DV20" i="52"/>
  <c r="DV22" i="52"/>
  <c r="DV24" i="52"/>
  <c r="DV26" i="52"/>
  <c r="CE16" i="52"/>
  <c r="BW17" i="52"/>
  <c r="BW18" i="52"/>
  <c r="BW15" i="52"/>
  <c r="CZ32" i="52" l="1"/>
  <c r="CX32" i="52"/>
  <c r="DE32" i="52"/>
  <c r="FL32" i="52" s="1"/>
  <c r="CT35" i="52"/>
  <c r="CM35" i="52"/>
  <c r="CL35" i="52"/>
  <c r="CK35" i="52"/>
  <c r="CN35" i="52"/>
  <c r="CJ35" i="52"/>
  <c r="CQ35" i="52"/>
  <c r="CI35" i="52"/>
  <c r="CR35" i="52"/>
  <c r="CS35" i="52"/>
  <c r="CO35" i="52"/>
  <c r="W7" i="53"/>
  <c r="AB3" i="53"/>
  <c r="DW17" i="52"/>
  <c r="W5" i="57"/>
  <c r="W9" i="57"/>
  <c r="U4" i="57"/>
  <c r="U8" i="57"/>
  <c r="V5" i="53"/>
  <c r="V9" i="53"/>
  <c r="DH8" i="57"/>
  <c r="AA3" i="53"/>
  <c r="AA7" i="53"/>
  <c r="Y7" i="53"/>
  <c r="Y3" i="53"/>
  <c r="Z7" i="57"/>
  <c r="DE3" i="57"/>
  <c r="DJ8" i="57"/>
  <c r="DW20" i="52"/>
  <c r="DW24" i="52"/>
  <c r="DW36" i="52"/>
  <c r="Y3" i="57"/>
  <c r="DW15" i="52"/>
  <c r="AA5" i="57"/>
  <c r="AA9" i="57"/>
  <c r="Y4" i="57"/>
  <c r="Y8" i="57"/>
  <c r="Z5" i="53"/>
  <c r="Z9" i="53"/>
  <c r="CQ21" i="57"/>
  <c r="W4" i="53"/>
  <c r="W8" i="53"/>
  <c r="DT18" i="52"/>
  <c r="AB10" i="53"/>
  <c r="AB6" i="53"/>
  <c r="V3" i="53"/>
  <c r="DW32" i="52"/>
  <c r="DW27" i="52"/>
  <c r="Z6" i="57"/>
  <c r="DF3" i="57"/>
  <c r="DW22" i="52"/>
  <c r="EW22" i="52" s="1"/>
  <c r="AU22" i="52" s="1"/>
  <c r="DW26" i="52"/>
  <c r="CT16" i="57"/>
  <c r="DW34" i="52"/>
  <c r="Z5" i="57"/>
  <c r="DG3" i="57"/>
  <c r="CY20" i="57"/>
  <c r="CS16" i="57"/>
  <c r="CV16" i="57"/>
  <c r="AA8" i="57"/>
  <c r="Y7" i="57"/>
  <c r="Z4" i="53"/>
  <c r="W3" i="53"/>
  <c r="AB7" i="53"/>
  <c r="Z8" i="57"/>
  <c r="CP35" i="52"/>
  <c r="U9" i="57"/>
  <c r="V10" i="53"/>
  <c r="CH35" i="52"/>
  <c r="Y6" i="53"/>
  <c r="Q19" i="52"/>
  <c r="AA6" i="57"/>
  <c r="AA10" i="57"/>
  <c r="Y5" i="57"/>
  <c r="Y9" i="57"/>
  <c r="Z6" i="53"/>
  <c r="Z10" i="53"/>
  <c r="DI8" i="57"/>
  <c r="W5" i="53"/>
  <c r="W9" i="53"/>
  <c r="DT34" i="52"/>
  <c r="AB9" i="53"/>
  <c r="AB5" i="53"/>
  <c r="DW29" i="52"/>
  <c r="Z4" i="57"/>
  <c r="DH3" i="57"/>
  <c r="CR16" i="57"/>
  <c r="CW26" i="57"/>
  <c r="CY26" i="57" s="1"/>
  <c r="ER28" i="52"/>
  <c r="ES28" i="52" s="1"/>
  <c r="FD28" i="52" s="1"/>
  <c r="CK28" i="53" s="1"/>
  <c r="CG28" i="52"/>
  <c r="DA28" i="52" s="1"/>
  <c r="CH20" i="52"/>
  <c r="AA4" i="57"/>
  <c r="Z8" i="53"/>
  <c r="CW16" i="57"/>
  <c r="W6" i="57"/>
  <c r="W10" i="57"/>
  <c r="U5" i="57"/>
  <c r="V6" i="53"/>
  <c r="DE8" i="57"/>
  <c r="AA4" i="53"/>
  <c r="AA8" i="53"/>
  <c r="Y10" i="53"/>
  <c r="W7" i="57"/>
  <c r="U6" i="57"/>
  <c r="U10" i="57"/>
  <c r="V7" i="53"/>
  <c r="DC8" i="57"/>
  <c r="CT21" i="57"/>
  <c r="AA5" i="53"/>
  <c r="AA9" i="53"/>
  <c r="Y9" i="53"/>
  <c r="Y5" i="53"/>
  <c r="DW31" i="52"/>
  <c r="Z3" i="57"/>
  <c r="DI3" i="57"/>
  <c r="DW23" i="52"/>
  <c r="DJ3" i="57"/>
  <c r="DW21" i="52"/>
  <c r="DW25" i="52"/>
  <c r="EW25" i="52" s="1"/>
  <c r="AU25" i="52" s="1"/>
  <c r="CV21" i="57"/>
  <c r="DW35" i="52"/>
  <c r="AA3" i="57"/>
  <c r="AA7" i="57"/>
  <c r="Y6" i="57"/>
  <c r="Z3" i="53"/>
  <c r="Z7" i="53"/>
  <c r="DG8" i="57"/>
  <c r="CW21" i="57"/>
  <c r="W6" i="53"/>
  <c r="W10" i="53"/>
  <c r="AB8" i="53"/>
  <c r="AB4" i="53"/>
  <c r="Y10" i="57"/>
  <c r="W4" i="57"/>
  <c r="W8" i="57"/>
  <c r="U3" i="57"/>
  <c r="U7" i="57"/>
  <c r="V4" i="53"/>
  <c r="V8" i="53"/>
  <c r="CR21" i="57"/>
  <c r="CX21" i="57"/>
  <c r="AA6" i="53"/>
  <c r="AA10" i="53"/>
  <c r="Y8" i="53"/>
  <c r="Y4" i="53"/>
  <c r="DW33" i="52"/>
  <c r="Z9" i="57"/>
  <c r="DC3" i="57"/>
  <c r="CY18" i="57"/>
  <c r="CX16" i="57"/>
  <c r="CZ23" i="52"/>
  <c r="DB23" i="52"/>
  <c r="DH23" i="52"/>
  <c r="DD23" i="52"/>
  <c r="CX23" i="52"/>
  <c r="DC23" i="52"/>
  <c r="CY23" i="52"/>
  <c r="DF23" i="52"/>
  <c r="DG23" i="52"/>
  <c r="EA35" i="52"/>
  <c r="EA21" i="52"/>
  <c r="EA19" i="52"/>
  <c r="EA28" i="52"/>
  <c r="EA32" i="52"/>
  <c r="EA22" i="52"/>
  <c r="FA22" i="52" s="1"/>
  <c r="EA29" i="52"/>
  <c r="EA33" i="52"/>
  <c r="EA36" i="52"/>
  <c r="EA15" i="52"/>
  <c r="EA30" i="52"/>
  <c r="EA34" i="52"/>
  <c r="EA23" i="52"/>
  <c r="EA20" i="52"/>
  <c r="EA27" i="52"/>
  <c r="CR36" i="52"/>
  <c r="DD19" i="52"/>
  <c r="CY19" i="52"/>
  <c r="DF19" i="52"/>
  <c r="DE19" i="52"/>
  <c r="DA19" i="52"/>
  <c r="DH19" i="52"/>
  <c r="CZ19" i="52"/>
  <c r="AF35" i="52"/>
  <c r="AO35" i="52"/>
  <c r="DA23" i="52"/>
  <c r="EA31" i="52"/>
  <c r="CH36" i="52"/>
  <c r="CF36" i="52"/>
  <c r="CG36" i="52"/>
  <c r="CJ36" i="52"/>
  <c r="DG28" i="52"/>
  <c r="CH28" i="52"/>
  <c r="CH26" i="52"/>
  <c r="ER24" i="52"/>
  <c r="ES24" i="52" s="1"/>
  <c r="CG24" i="52"/>
  <c r="CH23" i="52"/>
  <c r="CG20" i="52"/>
  <c r="DC20" i="52" s="1"/>
  <c r="DG19" i="52"/>
  <c r="DC19" i="52"/>
  <c r="CX19" i="52"/>
  <c r="CH19" i="52"/>
  <c r="ER19" i="52"/>
  <c r="ES19" i="52" s="1"/>
  <c r="EW19" i="52"/>
  <c r="AU19" i="52" s="1"/>
  <c r="CH24" i="52"/>
  <c r="EG36" i="52"/>
  <c r="ER36" i="52" s="1"/>
  <c r="ES36" i="52" s="1"/>
  <c r="DT36" i="52"/>
  <c r="DH35" i="52"/>
  <c r="CG35" i="52"/>
  <c r="DD35" i="52"/>
  <c r="CZ35" i="52"/>
  <c r="DD32" i="52"/>
  <c r="AX32" i="52" s="1"/>
  <c r="CH32" i="52"/>
  <c r="EJ26" i="52"/>
  <c r="ER26" i="52" s="1"/>
  <c r="ES26" i="52" s="1"/>
  <c r="DT26" i="52"/>
  <c r="EH22" i="52"/>
  <c r="ER22" i="52" s="1"/>
  <c r="ES22" i="52" s="1"/>
  <c r="DT22" i="52"/>
  <c r="CH22" i="52"/>
  <c r="CG22" i="52"/>
  <c r="CY22" i="52" s="1"/>
  <c r="EH20" i="52"/>
  <c r="ER20" i="52" s="1"/>
  <c r="ES20" i="52" s="1"/>
  <c r="EV20" i="52" s="1"/>
  <c r="DT20" i="52"/>
  <c r="CF28" i="52"/>
  <c r="CL28" i="52" s="1"/>
  <c r="CY32" i="52"/>
  <c r="DB32" i="52"/>
  <c r="DA32" i="52"/>
  <c r="DG32" i="52"/>
  <c r="DC32" i="52"/>
  <c r="DT24" i="52"/>
  <c r="CG26" i="52"/>
  <c r="DH26" i="52" s="1"/>
  <c r="EH35" i="52"/>
  <c r="ER35" i="52" s="1"/>
  <c r="ES35" i="52" s="1"/>
  <c r="DT35" i="52"/>
  <c r="EH32" i="52"/>
  <c r="ER32" i="52" s="1"/>
  <c r="ES32" i="52" s="1"/>
  <c r="EZ32" i="52" s="1"/>
  <c r="CG32" i="53" s="1"/>
  <c r="DT32" i="52"/>
  <c r="EI27" i="52"/>
  <c r="ER27" i="52" s="1"/>
  <c r="ES27" i="52" s="1"/>
  <c r="DT27" i="52"/>
  <c r="EJ25" i="52"/>
  <c r="ER25" i="52" s="1"/>
  <c r="ES25" i="52" s="1"/>
  <c r="FE25" i="52" s="1"/>
  <c r="DT25" i="52"/>
  <c r="CG25" i="52"/>
  <c r="CH25" i="52"/>
  <c r="EJ16" i="52"/>
  <c r="ER16" i="52" s="1"/>
  <c r="ES16" i="52" s="1"/>
  <c r="DT16" i="52"/>
  <c r="DT28" i="52"/>
  <c r="DE23" i="52"/>
  <c r="EH33" i="52"/>
  <c r="ER33" i="52" s="1"/>
  <c r="ES33" i="52" s="1"/>
  <c r="FE33" i="52" s="1"/>
  <c r="DT33" i="52"/>
  <c r="EG29" i="52"/>
  <c r="DT29" i="52"/>
  <c r="EV28" i="52"/>
  <c r="CC28" i="53" s="1"/>
  <c r="CG21" i="52"/>
  <c r="CH21" i="52"/>
  <c r="DU20" i="52"/>
  <c r="EU20" i="52" s="1"/>
  <c r="DU27" i="52"/>
  <c r="DU31" i="52"/>
  <c r="DU21" i="52"/>
  <c r="DU28" i="52"/>
  <c r="EU28" i="52" s="1"/>
  <c r="DU32" i="52"/>
  <c r="DU22" i="52"/>
  <c r="EU22" i="52" s="1"/>
  <c r="DU29" i="52"/>
  <c r="DU33" i="52"/>
  <c r="EU33" i="52" s="1"/>
  <c r="EE16" i="52"/>
  <c r="EE24" i="52"/>
  <c r="EE22" i="52"/>
  <c r="EE15" i="52"/>
  <c r="EE36" i="52"/>
  <c r="EE23" i="52"/>
  <c r="EE28" i="52"/>
  <c r="FE28" i="52" s="1"/>
  <c r="EE30" i="52"/>
  <c r="EE32" i="52"/>
  <c r="EE34" i="52"/>
  <c r="EE26" i="52"/>
  <c r="EE20" i="52"/>
  <c r="FE20" i="52" s="1"/>
  <c r="FC27" i="52"/>
  <c r="CJ27" i="53" s="1"/>
  <c r="ER34" i="52"/>
  <c r="ES34" i="52" s="1"/>
  <c r="EU34" i="52" s="1"/>
  <c r="EV33" i="52"/>
  <c r="EZ33" i="52"/>
  <c r="FA33" i="52"/>
  <c r="FE24" i="52"/>
  <c r="EW24" i="52"/>
  <c r="AU24" i="52" s="1"/>
  <c r="FD24" i="52"/>
  <c r="EV24" i="52"/>
  <c r="EZ24" i="52"/>
  <c r="FB24" i="52"/>
  <c r="FC24" i="52"/>
  <c r="FE32" i="52"/>
  <c r="EV32" i="52"/>
  <c r="EW32" i="52"/>
  <c r="AU32" i="52" s="1"/>
  <c r="EW28" i="52"/>
  <c r="AU28" i="52" s="1"/>
  <c r="EZ28" i="52"/>
  <c r="FA28" i="52"/>
  <c r="FC28" i="52"/>
  <c r="CJ28" i="52"/>
  <c r="CM28" i="52"/>
  <c r="CS28" i="52"/>
  <c r="CK28" i="52"/>
  <c r="CQ28" i="52"/>
  <c r="CP28" i="52"/>
  <c r="FD33" i="52"/>
  <c r="DB20" i="52"/>
  <c r="DA20" i="52"/>
  <c r="CX20" i="52"/>
  <c r="DD20" i="52"/>
  <c r="FB28" i="52"/>
  <c r="FE22" i="52"/>
  <c r="DH36" i="52"/>
  <c r="DA36" i="52"/>
  <c r="DF32" i="52"/>
  <c r="DH32" i="52"/>
  <c r="DB26" i="52"/>
  <c r="CY36" i="52"/>
  <c r="DF36" i="52"/>
  <c r="DB36" i="52"/>
  <c r="DD36" i="52"/>
  <c r="CY28" i="52"/>
  <c r="DE24" i="52"/>
  <c r="CX21" i="52"/>
  <c r="DB21" i="52"/>
  <c r="X10" i="53"/>
  <c r="X9" i="53"/>
  <c r="X8" i="53"/>
  <c r="X7" i="53"/>
  <c r="X6" i="53"/>
  <c r="X5" i="53"/>
  <c r="X4" i="53"/>
  <c r="X3" i="53"/>
  <c r="AB10" i="57"/>
  <c r="V10" i="57"/>
  <c r="V9" i="57"/>
  <c r="V8" i="57"/>
  <c r="V7" i="57"/>
  <c r="V6" i="57"/>
  <c r="V5" i="57"/>
  <c r="V4" i="57"/>
  <c r="V3" i="57"/>
  <c r="DU16" i="52"/>
  <c r="DU15" i="52"/>
  <c r="U10" i="53"/>
  <c r="U9" i="53"/>
  <c r="U8" i="53"/>
  <c r="U7" i="53"/>
  <c r="U6" i="53"/>
  <c r="U5" i="53"/>
  <c r="U4" i="53"/>
  <c r="Z10" i="57"/>
  <c r="AB9" i="57"/>
  <c r="AB8" i="57"/>
  <c r="AB7" i="57"/>
  <c r="AB6" i="57"/>
  <c r="AB5" i="57"/>
  <c r="AB4" i="57"/>
  <c r="AB3" i="57"/>
  <c r="W3" i="57"/>
  <c r="DF8" i="57"/>
  <c r="DE10" i="57"/>
  <c r="DI10" i="57"/>
  <c r="DE11" i="57"/>
  <c r="DI11" i="57"/>
  <c r="EA16" i="52"/>
  <c r="EA17" i="52"/>
  <c r="EA18" i="52"/>
  <c r="CQ23" i="57"/>
  <c r="CT19" i="57"/>
  <c r="CV23" i="57"/>
  <c r="CW23" i="57"/>
  <c r="CX22" i="57"/>
  <c r="CV22" i="57"/>
  <c r="CY22" i="57" s="1"/>
  <c r="DU35" i="52"/>
  <c r="ER29" i="52"/>
  <c r="ES29" i="52" s="1"/>
  <c r="EW29" i="52" s="1"/>
  <c r="AU29" i="52" s="1"/>
  <c r="DU19" i="52"/>
  <c r="DU18" i="52"/>
  <c r="DW16" i="52"/>
  <c r="DW18" i="52"/>
  <c r="EE18" i="52"/>
  <c r="EE17" i="52"/>
  <c r="EE35" i="52"/>
  <c r="DF10" i="57"/>
  <c r="DJ10" i="57"/>
  <c r="CX24" i="57"/>
  <c r="CW24" i="57"/>
  <c r="N24" i="57" s="1" a="1"/>
  <c r="CW19" i="57"/>
  <c r="CQ19" i="57"/>
  <c r="CT15" i="57"/>
  <c r="CQ15" i="57"/>
  <c r="CR15" i="57"/>
  <c r="CX15" i="57"/>
  <c r="CT36" i="52"/>
  <c r="CF32" i="52"/>
  <c r="CE15" i="52"/>
  <c r="DU17" i="52"/>
  <c r="X10" i="57"/>
  <c r="X9" i="57"/>
  <c r="X8" i="57"/>
  <c r="X7" i="57"/>
  <c r="X6" i="57"/>
  <c r="X5" i="57"/>
  <c r="X4" i="57"/>
  <c r="DC9" i="57"/>
  <c r="DG9" i="57"/>
  <c r="DC10" i="57"/>
  <c r="DG10" i="57"/>
  <c r="DC11" i="57"/>
  <c r="DG11" i="57"/>
  <c r="DC12" i="57"/>
  <c r="DG12" i="57"/>
  <c r="EC15" i="52"/>
  <c r="EC23" i="52"/>
  <c r="DU23" i="52"/>
  <c r="EA24" i="52"/>
  <c r="FA24" i="52" s="1"/>
  <c r="DU24" i="52"/>
  <c r="EU24" i="52" s="1"/>
  <c r="EA25" i="52"/>
  <c r="DU25" i="52"/>
  <c r="EA26" i="52"/>
  <c r="DU26" i="52"/>
  <c r="CS25" i="57"/>
  <c r="CS23" i="57"/>
  <c r="CS19" i="57"/>
  <c r="CR17" i="57"/>
  <c r="DU36" i="52"/>
  <c r="CQ36" i="52"/>
  <c r="ER18" i="52"/>
  <c r="ES18" i="52" s="1"/>
  <c r="CD16" i="52"/>
  <c r="CD17" i="52"/>
  <c r="CD27" i="52"/>
  <c r="CF27" i="52" s="1"/>
  <c r="CD29" i="52"/>
  <c r="CD30" i="52"/>
  <c r="CD31" i="52"/>
  <c r="CD34" i="52"/>
  <c r="CD18" i="52"/>
  <c r="CD15" i="52"/>
  <c r="CD33" i="52"/>
  <c r="DM17" i="52"/>
  <c r="DM15" i="52"/>
  <c r="DM23" i="52"/>
  <c r="DM30" i="52"/>
  <c r="DM31" i="52"/>
  <c r="DM7" i="52"/>
  <c r="DM21" i="52"/>
  <c r="DD28" i="52" l="1"/>
  <c r="DF26" i="52"/>
  <c r="CX26" i="52"/>
  <c r="FC34" i="52"/>
  <c r="EU29" i="52"/>
  <c r="DH28" i="52"/>
  <c r="DB28" i="52"/>
  <c r="CY26" i="52"/>
  <c r="DI32" i="52"/>
  <c r="CZ28" i="52"/>
  <c r="DE28" i="52"/>
  <c r="DI19" i="52"/>
  <c r="CU35" i="52"/>
  <c r="CX28" i="52"/>
  <c r="DC26" i="52"/>
  <c r="CY16" i="57"/>
  <c r="Q20" i="52"/>
  <c r="CE19" i="52"/>
  <c r="CY21" i="57"/>
  <c r="DF28" i="52"/>
  <c r="DD26" i="52"/>
  <c r="DG22" i="52"/>
  <c r="DA26" i="52"/>
  <c r="FL19" i="52"/>
  <c r="AX19" i="52" s="1"/>
  <c r="CV35" i="52"/>
  <c r="EU25" i="52"/>
  <c r="EU36" i="52"/>
  <c r="FA25" i="52"/>
  <c r="FA29" i="52"/>
  <c r="CZ26" i="52"/>
  <c r="DC28" i="52"/>
  <c r="EU27" i="52"/>
  <c r="AN27" i="52" s="1"/>
  <c r="DI23" i="52"/>
  <c r="FC35" i="52"/>
  <c r="EZ35" i="52"/>
  <c r="FB35" i="52"/>
  <c r="EW35" i="52"/>
  <c r="AU35" i="52" s="1"/>
  <c r="EV35" i="52"/>
  <c r="AQ35" i="52" s="1"/>
  <c r="FD35" i="52"/>
  <c r="FD16" i="52"/>
  <c r="EZ16" i="52"/>
  <c r="CG16" i="57" s="1"/>
  <c r="FE16" i="52"/>
  <c r="GS16" i="52" s="1"/>
  <c r="FB16" i="52"/>
  <c r="FC16" i="52"/>
  <c r="EV16" i="52"/>
  <c r="CL25" i="57"/>
  <c r="CL25" i="53"/>
  <c r="GS25" i="52"/>
  <c r="EZ26" i="52"/>
  <c r="EW26" i="52"/>
  <c r="AU26" i="52" s="1"/>
  <c r="FC26" i="52"/>
  <c r="FB26" i="52"/>
  <c r="FD26" i="52"/>
  <c r="EV26" i="52"/>
  <c r="CC20" i="53"/>
  <c r="CC20" i="57"/>
  <c r="FR34" i="52"/>
  <c r="AN34" i="52"/>
  <c r="CB34" i="53"/>
  <c r="EW16" i="52"/>
  <c r="AU16" i="52" s="1"/>
  <c r="CJ34" i="53"/>
  <c r="GS20" i="52"/>
  <c r="CL20" i="53"/>
  <c r="CL20" i="57"/>
  <c r="CB20" i="53"/>
  <c r="CB20" i="57"/>
  <c r="AN20" i="52"/>
  <c r="FR20" i="52"/>
  <c r="DD21" i="52"/>
  <c r="CY21" i="52"/>
  <c r="DG21" i="52"/>
  <c r="DC21" i="52"/>
  <c r="DF21" i="52"/>
  <c r="CZ21" i="52"/>
  <c r="CD25" i="57"/>
  <c r="BQ25" i="52"/>
  <c r="BM25" i="52"/>
  <c r="BK25" i="52"/>
  <c r="BR25" i="52"/>
  <c r="BN25" i="52"/>
  <c r="BL25" i="52"/>
  <c r="CD25" i="53"/>
  <c r="BO25" i="52"/>
  <c r="BM19" i="52"/>
  <c r="BK19" i="52"/>
  <c r="CD19" i="57"/>
  <c r="BR19" i="52"/>
  <c r="BN19" i="52"/>
  <c r="CD19" i="53"/>
  <c r="BO19" i="52"/>
  <c r="BQ19" i="52"/>
  <c r="BL19" i="52"/>
  <c r="FD19" i="52"/>
  <c r="EV19" i="52"/>
  <c r="FC19" i="52"/>
  <c r="EZ19" i="52"/>
  <c r="FE19" i="52"/>
  <c r="AJ19" i="52" s="1"/>
  <c r="CX24" i="52"/>
  <c r="CY24" i="52"/>
  <c r="DB24" i="52"/>
  <c r="DC24" i="52"/>
  <c r="FD20" i="52"/>
  <c r="FA20" i="52"/>
  <c r="FE35" i="52"/>
  <c r="EU16" i="52"/>
  <c r="DA21" i="52"/>
  <c r="DC25" i="52"/>
  <c r="DD25" i="52"/>
  <c r="CX25" i="52"/>
  <c r="DF25" i="52"/>
  <c r="DH25" i="52"/>
  <c r="CZ25" i="52"/>
  <c r="CY25" i="52"/>
  <c r="DG25" i="52"/>
  <c r="DB25" i="52"/>
  <c r="DA25" i="52"/>
  <c r="FA32" i="52"/>
  <c r="CH32" i="53" s="1"/>
  <c r="FA35" i="52"/>
  <c r="CH35" i="53" s="1"/>
  <c r="FA16" i="52"/>
  <c r="FE26" i="52"/>
  <c r="FA36" i="52"/>
  <c r="CH36" i="53" s="1"/>
  <c r="EU26" i="52"/>
  <c r="EU19" i="52"/>
  <c r="DG24" i="52"/>
  <c r="FB19" i="52"/>
  <c r="CI19" i="57" s="1"/>
  <c r="DE20" i="52"/>
  <c r="FL20" i="52" s="1"/>
  <c r="AX20" i="52" s="1"/>
  <c r="DG20" i="52"/>
  <c r="CZ20" i="52"/>
  <c r="FD32" i="52"/>
  <c r="FB33" i="52"/>
  <c r="BI33" i="52" s="1"/>
  <c r="EW33" i="52"/>
  <c r="AU33" i="52" s="1"/>
  <c r="FE34" i="52"/>
  <c r="AN22" i="52"/>
  <c r="CB22" i="53"/>
  <c r="FR22" i="52"/>
  <c r="CB22" i="57"/>
  <c r="DE25" i="52"/>
  <c r="FL25" i="52" s="1"/>
  <c r="DE26" i="52"/>
  <c r="DG26" i="52"/>
  <c r="DI26" i="52" s="1"/>
  <c r="DA35" i="52"/>
  <c r="DC35" i="52"/>
  <c r="DF35" i="52"/>
  <c r="CX35" i="52"/>
  <c r="DE35" i="52"/>
  <c r="FL35" i="52" s="1"/>
  <c r="AX35" i="52" s="1"/>
  <c r="DG35" i="52"/>
  <c r="CY35" i="52"/>
  <c r="DB35" i="52"/>
  <c r="CZ36" i="52"/>
  <c r="CX36" i="52"/>
  <c r="DI36" i="52" s="1"/>
  <c r="DE36" i="52"/>
  <c r="DG36" i="52"/>
  <c r="FA34" i="52"/>
  <c r="CH34" i="53" s="1"/>
  <c r="EU35" i="52"/>
  <c r="FS35" i="52" s="1"/>
  <c r="FL26" i="52"/>
  <c r="FB34" i="52"/>
  <c r="EV34" i="52"/>
  <c r="CC34" i="53" s="1"/>
  <c r="FD34" i="52"/>
  <c r="EZ34" i="52"/>
  <c r="EV25" i="52"/>
  <c r="FD25" i="52"/>
  <c r="AJ25" i="52" s="1"/>
  <c r="FB25" i="52"/>
  <c r="FC25" i="52"/>
  <c r="FC20" i="52"/>
  <c r="EW20" i="52"/>
  <c r="AU20" i="52" s="1"/>
  <c r="EZ20" i="52"/>
  <c r="FB20" i="52"/>
  <c r="FC36" i="52"/>
  <c r="EW36" i="52"/>
  <c r="AU36" i="52" s="1"/>
  <c r="EV36" i="52"/>
  <c r="CC36" i="53" s="1"/>
  <c r="FB36" i="52"/>
  <c r="EZ36" i="52"/>
  <c r="DH24" i="52"/>
  <c r="FA26" i="52"/>
  <c r="CH26" i="53" s="1"/>
  <c r="DH21" i="52"/>
  <c r="DA24" i="52"/>
  <c r="DF24" i="52"/>
  <c r="CY20" i="52"/>
  <c r="DH20" i="52"/>
  <c r="DF20" i="52"/>
  <c r="FB32" i="52"/>
  <c r="CI32" i="53" s="1"/>
  <c r="FC32" i="52"/>
  <c r="CJ32" i="53" s="1"/>
  <c r="FC33" i="52"/>
  <c r="EW34" i="52"/>
  <c r="AU34" i="52" s="1"/>
  <c r="FE36" i="52"/>
  <c r="EU32" i="52"/>
  <c r="DE21" i="52"/>
  <c r="FL21" i="52" s="1"/>
  <c r="FL23" i="52"/>
  <c r="AX23" i="52" s="1"/>
  <c r="EZ25" i="52"/>
  <c r="FD27" i="52"/>
  <c r="CK27" i="53" s="1"/>
  <c r="EZ27" i="52"/>
  <c r="EW27" i="52"/>
  <c r="FE27" i="52"/>
  <c r="FB27" i="52"/>
  <c r="EV27" i="52"/>
  <c r="DD24" i="52"/>
  <c r="FJ24" i="52" s="1"/>
  <c r="CI28" i="52"/>
  <c r="CT28" i="52"/>
  <c r="AQ28" i="52" s="1"/>
  <c r="CR28" i="52"/>
  <c r="CO28" i="52"/>
  <c r="CN28" i="52"/>
  <c r="DF22" i="52"/>
  <c r="DH22" i="52"/>
  <c r="CZ22" i="52"/>
  <c r="DE22" i="52"/>
  <c r="CX22" i="52"/>
  <c r="DD22" i="52"/>
  <c r="DB22" i="52"/>
  <c r="DA22" i="52"/>
  <c r="DC22" i="52"/>
  <c r="EV22" i="52"/>
  <c r="EZ22" i="52"/>
  <c r="FC22" i="52"/>
  <c r="FB22" i="52"/>
  <c r="FD22" i="52"/>
  <c r="CZ24" i="52"/>
  <c r="FL24" i="52" s="1"/>
  <c r="CN36" i="52"/>
  <c r="CS36" i="52"/>
  <c r="CP36" i="52"/>
  <c r="CM36" i="52"/>
  <c r="AQ36" i="52" s="1"/>
  <c r="CI36" i="52"/>
  <c r="CK36" i="52"/>
  <c r="CU36" i="52" s="1"/>
  <c r="CO36" i="52"/>
  <c r="CL36" i="52"/>
  <c r="DC36" i="52"/>
  <c r="FD36" i="52"/>
  <c r="CK36" i="53" s="1"/>
  <c r="FA27" i="52"/>
  <c r="CH27" i="53" s="1"/>
  <c r="FA19" i="52"/>
  <c r="CD29" i="53"/>
  <c r="BL29" i="52"/>
  <c r="BR29" i="52"/>
  <c r="BM29" i="52"/>
  <c r="BQ29" i="52"/>
  <c r="BO29" i="52"/>
  <c r="BK29" i="52"/>
  <c r="BN29" i="52"/>
  <c r="CR27" i="52"/>
  <c r="CN27" i="52"/>
  <c r="CP27" i="52"/>
  <c r="CT27" i="52"/>
  <c r="CK27" i="52"/>
  <c r="CL27" i="52"/>
  <c r="CM27" i="52"/>
  <c r="CJ27" i="52"/>
  <c r="CO27" i="52"/>
  <c r="CI27" i="52"/>
  <c r="CQ27" i="52"/>
  <c r="R24" i="57"/>
  <c r="P24" i="57"/>
  <c r="U24" i="57"/>
  <c r="T24" i="57"/>
  <c r="N24" i="57"/>
  <c r="O24" i="57"/>
  <c r="S24" i="57"/>
  <c r="Q24" i="57"/>
  <c r="AN35" i="52"/>
  <c r="FR35" i="52"/>
  <c r="FJ35" i="52"/>
  <c r="AW35" i="52" s="1"/>
  <c r="CH29" i="53"/>
  <c r="GS28" i="52"/>
  <c r="CL28" i="53"/>
  <c r="FK32" i="52"/>
  <c r="GU24" i="52"/>
  <c r="GV24" i="52" s="1"/>
  <c r="CJ24" i="53"/>
  <c r="CJ24" i="57"/>
  <c r="GU33" i="52"/>
  <c r="CJ33" i="53"/>
  <c r="CL33" i="53"/>
  <c r="GS33" i="52"/>
  <c r="EJ30" i="52"/>
  <c r="ER30" i="52" s="1"/>
  <c r="ES30" i="52" s="1"/>
  <c r="DT30" i="52"/>
  <c r="CH31" i="52"/>
  <c r="CF31" i="52"/>
  <c r="CS31" i="52" s="1"/>
  <c r="CG31" i="52"/>
  <c r="AN25" i="52"/>
  <c r="CB25" i="57"/>
  <c r="CB25" i="53"/>
  <c r="FR25" i="52"/>
  <c r="FS25" i="52"/>
  <c r="EU18" i="52"/>
  <c r="N22" i="57" a="1"/>
  <c r="CH16" i="53"/>
  <c r="CH16" i="57"/>
  <c r="N21" i="57" a="1"/>
  <c r="N26" i="57" a="1"/>
  <c r="N16" i="57" a="1"/>
  <c r="N18" i="57" a="1"/>
  <c r="N20" i="57" a="1"/>
  <c r="FK19" i="52"/>
  <c r="CI19" i="53"/>
  <c r="CC35" i="53"/>
  <c r="CH22" i="57"/>
  <c r="CH22" i="53"/>
  <c r="CL16" i="53"/>
  <c r="CL16" i="57"/>
  <c r="FK28" i="52"/>
  <c r="FJ28" i="52"/>
  <c r="CI28" i="53"/>
  <c r="DI20" i="52"/>
  <c r="CG16" i="53"/>
  <c r="GV33" i="52"/>
  <c r="CK33" i="53"/>
  <c r="CH28" i="53"/>
  <c r="BM28" i="52"/>
  <c r="BK28" i="52"/>
  <c r="BR28" i="52"/>
  <c r="BN28" i="52"/>
  <c r="CD28" i="53"/>
  <c r="BQ28" i="52"/>
  <c r="BO28" i="52"/>
  <c r="BL28" i="52"/>
  <c r="AJ28" i="52"/>
  <c r="CD32" i="53"/>
  <c r="BM32" i="52"/>
  <c r="BK32" i="52"/>
  <c r="BL32" i="52"/>
  <c r="BQ32" i="52"/>
  <c r="AJ32" i="52"/>
  <c r="BN32" i="52"/>
  <c r="BO32" i="52"/>
  <c r="BR32" i="52"/>
  <c r="CL32" i="53"/>
  <c r="GS32" i="52"/>
  <c r="FK24" i="52"/>
  <c r="CI24" i="57"/>
  <c r="CI24" i="53"/>
  <c r="BM24" i="52"/>
  <c r="BK24" i="52"/>
  <c r="BR24" i="52"/>
  <c r="BN24" i="52"/>
  <c r="CD24" i="53"/>
  <c r="BQ24" i="52"/>
  <c r="CD24" i="57"/>
  <c r="BO24" i="52"/>
  <c r="AJ24" i="52"/>
  <c r="BL24" i="52"/>
  <c r="CG33" i="53"/>
  <c r="AL33" i="52"/>
  <c r="AN33" i="52"/>
  <c r="CB33" i="53"/>
  <c r="FS33" i="52"/>
  <c r="FR33" i="52"/>
  <c r="EJ31" i="52"/>
  <c r="ER31" i="52" s="1"/>
  <c r="ES31" i="52" s="1"/>
  <c r="DT31" i="52"/>
  <c r="CG34" i="52"/>
  <c r="DH34" i="52" s="1"/>
  <c r="CF34" i="52"/>
  <c r="CS34" i="52" s="1"/>
  <c r="CH34" i="52"/>
  <c r="CH26" i="57"/>
  <c r="CY15" i="57"/>
  <c r="N15" i="57" a="1"/>
  <c r="AJ35" i="52"/>
  <c r="CL35" i="53"/>
  <c r="GS35" i="52"/>
  <c r="AH35" i="52"/>
  <c r="CB16" i="53"/>
  <c r="CB16" i="57"/>
  <c r="FS16" i="52"/>
  <c r="FV16" i="52" s="1"/>
  <c r="AN16" i="52"/>
  <c r="FR16" i="52"/>
  <c r="CB29" i="53"/>
  <c r="AN29" i="52"/>
  <c r="FS29" i="52"/>
  <c r="FV29" i="52" s="1"/>
  <c r="FR29" i="52"/>
  <c r="CD22" i="53"/>
  <c r="BO22" i="52"/>
  <c r="BL22" i="52"/>
  <c r="BQ22" i="52"/>
  <c r="CD22" i="57"/>
  <c r="BR22" i="52"/>
  <c r="BN22" i="52"/>
  <c r="BM22" i="52"/>
  <c r="BK22" i="52"/>
  <c r="FS22" i="52"/>
  <c r="AJ22" i="52"/>
  <c r="CJ28" i="53"/>
  <c r="GU28" i="52"/>
  <c r="GV28" i="52" s="1"/>
  <c r="CF33" i="52"/>
  <c r="CG33" i="52"/>
  <c r="DH33" i="52" s="1"/>
  <c r="CH33" i="52"/>
  <c r="CG17" i="52"/>
  <c r="DH17" i="52" s="1"/>
  <c r="CF17" i="52"/>
  <c r="EJ21" i="52"/>
  <c r="ER21" i="52" s="1"/>
  <c r="ES21" i="52" s="1"/>
  <c r="DT21" i="52"/>
  <c r="EJ23" i="52"/>
  <c r="ER23" i="52" s="1"/>
  <c r="ES23" i="52" s="1"/>
  <c r="DT23" i="52"/>
  <c r="CF15" i="52"/>
  <c r="CT15" i="52" s="1"/>
  <c r="CS15" i="52"/>
  <c r="CH30" i="52"/>
  <c r="CG30" i="52"/>
  <c r="DH30" i="52" s="1"/>
  <c r="CF30" i="52"/>
  <c r="DH16" i="52"/>
  <c r="CG16" i="52"/>
  <c r="CH16" i="52"/>
  <c r="AJ16" i="52" s="1"/>
  <c r="CF16" i="52"/>
  <c r="CB36" i="53"/>
  <c r="FR36" i="52"/>
  <c r="AN36" i="52"/>
  <c r="CY25" i="57"/>
  <c r="N25" i="57" a="1"/>
  <c r="CH25" i="53"/>
  <c r="CH25" i="57"/>
  <c r="CY19" i="57"/>
  <c r="N19" i="57" a="1"/>
  <c r="FE18" i="52"/>
  <c r="CB19" i="57"/>
  <c r="FR19" i="52"/>
  <c r="AL19" i="52"/>
  <c r="CB19" i="53"/>
  <c r="FS19" i="52"/>
  <c r="AN19" i="52"/>
  <c r="CY23" i="57"/>
  <c r="N23" i="57" a="1"/>
  <c r="CY24" i="57"/>
  <c r="AX26" i="52"/>
  <c r="GS22" i="52"/>
  <c r="CL22" i="53"/>
  <c r="CL22" i="57"/>
  <c r="CC16" i="53"/>
  <c r="CC16" i="57"/>
  <c r="CG15" i="52"/>
  <c r="DH15" i="52" s="1"/>
  <c r="AO28" i="52"/>
  <c r="AF28" i="52"/>
  <c r="CG28" i="53"/>
  <c r="BI28" i="52"/>
  <c r="CC32" i="53"/>
  <c r="CG24" i="57"/>
  <c r="BI24" i="52"/>
  <c r="CG24" i="53"/>
  <c r="GS24" i="52"/>
  <c r="CL24" i="57"/>
  <c r="CL24" i="53"/>
  <c r="CH33" i="53"/>
  <c r="CC33" i="53"/>
  <c r="AL32" i="52"/>
  <c r="EJ17" i="52"/>
  <c r="ER17" i="52" s="1"/>
  <c r="ES17" i="52" s="1"/>
  <c r="DT17" i="52"/>
  <c r="CS27" i="52"/>
  <c r="CH27" i="52"/>
  <c r="CG27" i="52"/>
  <c r="CH24" i="53"/>
  <c r="CH24" i="57"/>
  <c r="CD16" i="57"/>
  <c r="BO16" i="52"/>
  <c r="BL16" i="52"/>
  <c r="BQ16" i="52"/>
  <c r="CD16" i="53"/>
  <c r="BR16" i="52"/>
  <c r="BK16" i="52"/>
  <c r="BN16" i="52"/>
  <c r="BM16" i="52"/>
  <c r="DI28" i="52"/>
  <c r="FK16" i="52"/>
  <c r="CI16" i="57"/>
  <c r="CI16" i="53"/>
  <c r="CK24" i="53"/>
  <c r="CK24" i="57"/>
  <c r="DX36" i="52"/>
  <c r="EX36" i="52" s="1"/>
  <c r="DX35" i="52"/>
  <c r="EX35" i="52" s="1"/>
  <c r="DX17" i="52"/>
  <c r="DX16" i="52"/>
  <c r="EX16" i="52" s="1"/>
  <c r="DX27" i="52"/>
  <c r="EX27" i="52" s="1"/>
  <c r="DX32" i="52"/>
  <c r="EX32" i="52" s="1"/>
  <c r="FH32" i="52" s="1"/>
  <c r="DX34" i="52"/>
  <c r="EX34" i="52" s="1"/>
  <c r="DX19" i="52"/>
  <c r="EX19" i="52" s="1"/>
  <c r="DX15" i="52"/>
  <c r="DX26" i="52"/>
  <c r="EX26" i="52" s="1"/>
  <c r="FF26" i="52" s="1"/>
  <c r="BG26" i="52" s="1"/>
  <c r="DX25" i="52"/>
  <c r="EX25" i="52" s="1"/>
  <c r="DX24" i="52"/>
  <c r="EX24" i="52" s="1"/>
  <c r="FF24" i="52" s="1"/>
  <c r="BG24" i="52" s="1"/>
  <c r="DX28" i="52"/>
  <c r="EX28" i="52" s="1"/>
  <c r="DX30" i="52"/>
  <c r="EX30" i="52" s="1"/>
  <c r="DX31" i="52"/>
  <c r="EX31" i="52" s="1"/>
  <c r="DX33" i="52"/>
  <c r="EX33" i="52" s="1"/>
  <c r="DX23" i="52"/>
  <c r="DX22" i="52"/>
  <c r="EX22" i="52" s="1"/>
  <c r="DX21" i="52"/>
  <c r="DX20" i="52"/>
  <c r="EX20" i="52" s="1"/>
  <c r="DX18" i="52"/>
  <c r="EX18" i="52" s="1"/>
  <c r="DX29" i="52"/>
  <c r="EX29" i="52" s="1"/>
  <c r="EJ15" i="52"/>
  <c r="ER15" i="52" s="1"/>
  <c r="ES15" i="52" s="1"/>
  <c r="DT15" i="52"/>
  <c r="CG18" i="52"/>
  <c r="DH18" i="52" s="1"/>
  <c r="CH18" i="52"/>
  <c r="CF18" i="52"/>
  <c r="CS18" i="52" s="1"/>
  <c r="CH29" i="52"/>
  <c r="CG29" i="52"/>
  <c r="DH29" i="52" s="1"/>
  <c r="CF29" i="52"/>
  <c r="FD18" i="52"/>
  <c r="EZ18" i="52"/>
  <c r="FB18" i="52"/>
  <c r="EV18" i="52"/>
  <c r="CY17" i="57"/>
  <c r="N17" i="57" a="1"/>
  <c r="CB26" i="57"/>
  <c r="AN26" i="52"/>
  <c r="FJ26" i="52"/>
  <c r="AW26" i="52" s="1"/>
  <c r="FR26" i="52"/>
  <c r="CB26" i="53"/>
  <c r="AL26" i="52"/>
  <c r="FS26" i="52"/>
  <c r="FS24" i="52"/>
  <c r="CB24" i="57"/>
  <c r="FR24" i="52"/>
  <c r="CB24" i="53"/>
  <c r="AL24" i="52"/>
  <c r="AN24" i="52"/>
  <c r="FC15" i="52"/>
  <c r="CS32" i="52"/>
  <c r="CN32" i="52"/>
  <c r="CI32" i="52"/>
  <c r="CL32" i="52"/>
  <c r="CJ32" i="52"/>
  <c r="CM32" i="52"/>
  <c r="CR32" i="52"/>
  <c r="CK32" i="52"/>
  <c r="CQ32" i="52"/>
  <c r="CP32" i="52"/>
  <c r="CT32" i="52"/>
  <c r="CO32" i="52"/>
  <c r="EW18" i="52"/>
  <c r="AU18" i="52" s="1"/>
  <c r="EV29" i="52"/>
  <c r="FE29" i="52"/>
  <c r="FB29" i="52"/>
  <c r="EZ29" i="52"/>
  <c r="FD29" i="52"/>
  <c r="FA18" i="52"/>
  <c r="EU15" i="52"/>
  <c r="FC18" i="52"/>
  <c r="CH17" i="52"/>
  <c r="GU16" i="52"/>
  <c r="CJ16" i="57"/>
  <c r="CJ16" i="53"/>
  <c r="CH15" i="52"/>
  <c r="CW15" i="52" s="1"/>
  <c r="FS28" i="52"/>
  <c r="FV28" i="52" s="1"/>
  <c r="BB28" i="52"/>
  <c r="CB28" i="53"/>
  <c r="FR28" i="52"/>
  <c r="FG28" i="52"/>
  <c r="FI28" i="52" s="1"/>
  <c r="FF28" i="52"/>
  <c r="BG28" i="52" s="1"/>
  <c r="AL28" i="52"/>
  <c r="AN28" i="52"/>
  <c r="FH28" i="52"/>
  <c r="BF28" i="52" s="1"/>
  <c r="BC28" i="52"/>
  <c r="CK32" i="53"/>
  <c r="CC24" i="53"/>
  <c r="CC24" i="57"/>
  <c r="BI19" i="52"/>
  <c r="FK33" i="52"/>
  <c r="CI33" i="53"/>
  <c r="BR33" i="52"/>
  <c r="BO33" i="52"/>
  <c r="BN33" i="52"/>
  <c r="CD33" i="53"/>
  <c r="BK33" i="52"/>
  <c r="AJ33" i="52"/>
  <c r="BL33" i="52"/>
  <c r="BM33" i="52"/>
  <c r="BQ33" i="52"/>
  <c r="FV33" i="52"/>
  <c r="FS32" i="52"/>
  <c r="FC29" i="52"/>
  <c r="CV36" i="52" l="1"/>
  <c r="AL25" i="52"/>
  <c r="FH22" i="52"/>
  <c r="FF36" i="52"/>
  <c r="BG36" i="52" s="1"/>
  <c r="AH28" i="52"/>
  <c r="AD28" i="52" s="1"/>
  <c r="AL16" i="52"/>
  <c r="FR27" i="52"/>
  <c r="FS34" i="52"/>
  <c r="FS36" i="52"/>
  <c r="AI36" i="52"/>
  <c r="D36" i="52" s="1"/>
  <c r="BI32" i="52"/>
  <c r="CB27" i="53"/>
  <c r="AL36" i="52"/>
  <c r="FL28" i="52"/>
  <c r="AH36" i="52"/>
  <c r="AM36" i="52" s="1"/>
  <c r="FN36" i="52" s="1"/>
  <c r="FO36" i="52" s="1"/>
  <c r="FP36" i="52" s="1"/>
  <c r="AP36" i="52"/>
  <c r="BJ36" i="52" s="1"/>
  <c r="CU28" i="52"/>
  <c r="AJ27" i="52"/>
  <c r="AU27" i="52"/>
  <c r="FS20" i="52"/>
  <c r="CF19" i="52"/>
  <c r="CT19" i="52" s="1"/>
  <c r="GV16" i="52"/>
  <c r="AJ34" i="52"/>
  <c r="AI28" i="52"/>
  <c r="D28" i="52" s="1"/>
  <c r="Q21" i="52"/>
  <c r="CE20" i="52"/>
  <c r="AX24" i="52"/>
  <c r="AW24" i="52"/>
  <c r="AJ29" i="52"/>
  <c r="EX23" i="52"/>
  <c r="FW23" i="52" s="1"/>
  <c r="CK22" i="57"/>
  <c r="CK22" i="53"/>
  <c r="CC22" i="53"/>
  <c r="CC22" i="57"/>
  <c r="CC27" i="53"/>
  <c r="AL27" i="52"/>
  <c r="AG27" i="52" s="1"/>
  <c r="CG27" i="53"/>
  <c r="BI27" i="52"/>
  <c r="GU27" i="52"/>
  <c r="GV27" i="52" s="1"/>
  <c r="CL36" i="53"/>
  <c r="GS36" i="52"/>
  <c r="FK36" i="52"/>
  <c r="CI36" i="53"/>
  <c r="FK20" i="52"/>
  <c r="CI20" i="57"/>
  <c r="CI20" i="53"/>
  <c r="CJ25" i="53"/>
  <c r="GU25" i="52"/>
  <c r="CJ25" i="57"/>
  <c r="CG34" i="53"/>
  <c r="BI34" i="52"/>
  <c r="DI21" i="52"/>
  <c r="DI35" i="52"/>
  <c r="CL34" i="53"/>
  <c r="GS34" i="52"/>
  <c r="CK20" i="57"/>
  <c r="CK20" i="53"/>
  <c r="CC19" i="57"/>
  <c r="CC19" i="53"/>
  <c r="AX21" i="52"/>
  <c r="FT20" i="52"/>
  <c r="FY20" i="52" s="1"/>
  <c r="GU34" i="52"/>
  <c r="CK26" i="57"/>
  <c r="CK26" i="53"/>
  <c r="BI26" i="52"/>
  <c r="CG26" i="57"/>
  <c r="CG26" i="53"/>
  <c r="BO35" i="52"/>
  <c r="BM35" i="52"/>
  <c r="AI35" i="52"/>
  <c r="D35" i="52" s="1"/>
  <c r="BK35" i="52"/>
  <c r="BN35" i="52"/>
  <c r="BQ35" i="52"/>
  <c r="CD35" i="53"/>
  <c r="BL35" i="52"/>
  <c r="BR35" i="52"/>
  <c r="FF32" i="52"/>
  <c r="BG32" i="52" s="1"/>
  <c r="CV28" i="52"/>
  <c r="AI32" i="52"/>
  <c r="D32" i="52" s="1"/>
  <c r="FH26" i="52"/>
  <c r="GU32" i="52"/>
  <c r="GV32" i="52" s="1"/>
  <c r="FJ20" i="52"/>
  <c r="AW20" i="52" s="1"/>
  <c r="FJ22" i="52"/>
  <c r="BI16" i="52"/>
  <c r="FJ19" i="52"/>
  <c r="AW19" i="52" s="1"/>
  <c r="FJ32" i="52"/>
  <c r="AW32" i="52" s="1"/>
  <c r="AL35" i="52"/>
  <c r="CB35" i="53"/>
  <c r="CI22" i="57"/>
  <c r="CI22" i="53"/>
  <c r="FK22" i="52"/>
  <c r="DI22" i="52"/>
  <c r="FK27" i="52"/>
  <c r="CI27" i="53"/>
  <c r="BM34" i="52"/>
  <c r="BN34" i="52"/>
  <c r="BQ34" i="52"/>
  <c r="BL34" i="52"/>
  <c r="BO34" i="52"/>
  <c r="BK34" i="52"/>
  <c r="CD34" i="53"/>
  <c r="BR34" i="52"/>
  <c r="AP28" i="52"/>
  <c r="CG20" i="53"/>
  <c r="BI20" i="52"/>
  <c r="CG20" i="57"/>
  <c r="CI25" i="57"/>
  <c r="CM25" i="57" s="1"/>
  <c r="CI25" i="53"/>
  <c r="CM25" i="53" s="1"/>
  <c r="FK25" i="52"/>
  <c r="CK34" i="53"/>
  <c r="GV34" i="52"/>
  <c r="FL36" i="52"/>
  <c r="AX36" i="52" s="1"/>
  <c r="CL26" i="57"/>
  <c r="CL26" i="53"/>
  <c r="GS26" i="52"/>
  <c r="GS19" i="52"/>
  <c r="CL19" i="57"/>
  <c r="CL19" i="53"/>
  <c r="CK19" i="57"/>
  <c r="CK19" i="53"/>
  <c r="CI26" i="57"/>
  <c r="CI26" i="53"/>
  <c r="CM26" i="53" s="1"/>
  <c r="FK26" i="52"/>
  <c r="CK16" i="57"/>
  <c r="CK16" i="53"/>
  <c r="CI35" i="53"/>
  <c r="FK35" i="52"/>
  <c r="FH36" i="52"/>
  <c r="BD36" i="52" s="1"/>
  <c r="FG26" i="52"/>
  <c r="FI26" i="52" s="1"/>
  <c r="FH25" i="52"/>
  <c r="BD25" i="52" s="1"/>
  <c r="FH19" i="52"/>
  <c r="BC19" i="52" s="1"/>
  <c r="FJ36" i="52"/>
  <c r="FJ25" i="52"/>
  <c r="AW25" i="52" s="1"/>
  <c r="CH19" i="53"/>
  <c r="CH19" i="57"/>
  <c r="CO19" i="57" s="1"/>
  <c r="CJ22" i="57"/>
  <c r="GU22" i="52"/>
  <c r="GV22" i="52" s="1"/>
  <c r="CJ22" i="53"/>
  <c r="FL22" i="52"/>
  <c r="AX22" i="52" s="1"/>
  <c r="CL27" i="53"/>
  <c r="GS27" i="52"/>
  <c r="AZ27" i="52" s="1"/>
  <c r="CG25" i="53"/>
  <c r="CG25" i="57"/>
  <c r="CO25" i="57" s="1"/>
  <c r="BI25" i="52"/>
  <c r="DI24" i="52"/>
  <c r="CD36" i="53"/>
  <c r="BL36" i="52"/>
  <c r="BQ36" i="52"/>
  <c r="BO36" i="52"/>
  <c r="BR36" i="52"/>
  <c r="BK36" i="52"/>
  <c r="AJ36" i="52"/>
  <c r="BN36" i="52"/>
  <c r="BM36" i="52"/>
  <c r="BN20" i="52"/>
  <c r="CD20" i="53"/>
  <c r="BR20" i="52"/>
  <c r="FV20" i="52"/>
  <c r="BQ20" i="52"/>
  <c r="AJ20" i="52"/>
  <c r="BM20" i="52"/>
  <c r="BK20" i="52"/>
  <c r="CD20" i="57"/>
  <c r="BO20" i="52"/>
  <c r="BL20" i="52"/>
  <c r="CK25" i="57"/>
  <c r="CK25" i="53"/>
  <c r="GV25" i="52"/>
  <c r="AX25" i="52"/>
  <c r="CG19" i="53"/>
  <c r="CG19" i="57"/>
  <c r="AL34" i="52"/>
  <c r="AG34" i="52" s="1"/>
  <c r="GU26" i="52"/>
  <c r="GV26" i="52" s="1"/>
  <c r="CJ26" i="57"/>
  <c r="CJ26" i="53"/>
  <c r="CK35" i="53"/>
  <c r="AP35" i="52"/>
  <c r="BI35" i="52"/>
  <c r="CG35" i="53"/>
  <c r="AD35" i="52"/>
  <c r="CM26" i="57"/>
  <c r="AF36" i="52"/>
  <c r="AO36" i="52"/>
  <c r="BI22" i="52"/>
  <c r="CG22" i="57"/>
  <c r="CM22" i="57" s="1"/>
  <c r="CG22" i="53"/>
  <c r="CM22" i="53" s="1"/>
  <c r="BR27" i="52"/>
  <c r="BN27" i="52"/>
  <c r="BO27" i="52"/>
  <c r="BL27" i="52"/>
  <c r="CD27" i="53"/>
  <c r="BQ27" i="52"/>
  <c r="BM27" i="52"/>
  <c r="BK27" i="52"/>
  <c r="FS27" i="52"/>
  <c r="FR32" i="52"/>
  <c r="FT32" i="52" s="1"/>
  <c r="FY32" i="52" s="1"/>
  <c r="CB32" i="53"/>
  <c r="AN32" i="52"/>
  <c r="CG36" i="53"/>
  <c r="BI36" i="52"/>
  <c r="CJ36" i="53"/>
  <c r="GU36" i="52"/>
  <c r="GV36" i="52" s="1"/>
  <c r="CJ20" i="57"/>
  <c r="CJ20" i="53"/>
  <c r="GU20" i="52"/>
  <c r="GV20" i="52" s="1"/>
  <c r="CC25" i="57"/>
  <c r="CC25" i="53"/>
  <c r="FK34" i="52"/>
  <c r="CI34" i="53"/>
  <c r="CM34" i="53" s="1"/>
  <c r="AL22" i="52"/>
  <c r="AG22" i="52" s="1"/>
  <c r="DI25" i="52"/>
  <c r="CH20" i="57"/>
  <c r="CH20" i="53"/>
  <c r="CJ19" i="57"/>
  <c r="CJ19" i="53"/>
  <c r="GU19" i="52"/>
  <c r="GV19" i="52" s="1"/>
  <c r="AL20" i="52"/>
  <c r="CC26" i="57"/>
  <c r="CC26" i="53"/>
  <c r="AJ26" i="52"/>
  <c r="BK26" i="52"/>
  <c r="BN26" i="52"/>
  <c r="BO26" i="52"/>
  <c r="CD26" i="53"/>
  <c r="CD26" i="57"/>
  <c r="BR26" i="52"/>
  <c r="BL26" i="52"/>
  <c r="BQ26" i="52"/>
  <c r="BM26" i="52"/>
  <c r="CJ35" i="53"/>
  <c r="GU35" i="52"/>
  <c r="GV35" i="52" s="1"/>
  <c r="BE22" i="52"/>
  <c r="BF22" i="52"/>
  <c r="BC22" i="52"/>
  <c r="BD22" i="52"/>
  <c r="BB22" i="52"/>
  <c r="BB32" i="52"/>
  <c r="BD32" i="52"/>
  <c r="BE32" i="52"/>
  <c r="BC32" i="52"/>
  <c r="BF32" i="52"/>
  <c r="BC25" i="52"/>
  <c r="BE25" i="52"/>
  <c r="CJ18" i="57"/>
  <c r="CJ18" i="53"/>
  <c r="GU18" i="52"/>
  <c r="GV18" i="52" s="1"/>
  <c r="BL18" i="52"/>
  <c r="BO18" i="52"/>
  <c r="CD18" i="53"/>
  <c r="BR18" i="52"/>
  <c r="AJ18" i="52"/>
  <c r="BQ18" i="52"/>
  <c r="CD18" i="57"/>
  <c r="BN18" i="52"/>
  <c r="BM18" i="52"/>
  <c r="BK18" i="52"/>
  <c r="CE29" i="53"/>
  <c r="FW29" i="52"/>
  <c r="CE30" i="53"/>
  <c r="FW30" i="52"/>
  <c r="CE35" i="53"/>
  <c r="CN35" i="53" s="1"/>
  <c r="CX35" i="53" s="1"/>
  <c r="FW35" i="52"/>
  <c r="DD27" i="52"/>
  <c r="DE27" i="52"/>
  <c r="CX27" i="52"/>
  <c r="DC27" i="52"/>
  <c r="DG27" i="52"/>
  <c r="CZ27" i="52"/>
  <c r="CY27" i="52"/>
  <c r="DA27" i="52"/>
  <c r="DB27" i="52"/>
  <c r="DF27" i="52"/>
  <c r="CT16" i="52"/>
  <c r="CK16" i="52"/>
  <c r="CO16" i="52"/>
  <c r="CQ16" i="52"/>
  <c r="AZ16" i="52" s="1"/>
  <c r="CN16" i="52"/>
  <c r="CJ16" i="52"/>
  <c r="CR16" i="52"/>
  <c r="CI16" i="52"/>
  <c r="CP16" i="52"/>
  <c r="CM16" i="52"/>
  <c r="CL16" i="52"/>
  <c r="CK17" i="52"/>
  <c r="CJ17" i="52"/>
  <c r="CO17" i="52"/>
  <c r="CR17" i="52"/>
  <c r="CP17" i="52"/>
  <c r="CQ17" i="52"/>
  <c r="CL17" i="52"/>
  <c r="CN17" i="52"/>
  <c r="CT17" i="52"/>
  <c r="CI17" i="52"/>
  <c r="CM17" i="52"/>
  <c r="AG33" i="52"/>
  <c r="AZ32" i="52"/>
  <c r="N17" i="57"/>
  <c r="T17" i="57"/>
  <c r="R17" i="57"/>
  <c r="P17" i="57"/>
  <c r="U17" i="57"/>
  <c r="Q17" i="57"/>
  <c r="O17" i="57"/>
  <c r="S17" i="57"/>
  <c r="CG18" i="53"/>
  <c r="BI18" i="52"/>
  <c r="CG18" i="57"/>
  <c r="CE20" i="53"/>
  <c r="FW20" i="52"/>
  <c r="FF20" i="52"/>
  <c r="BG20" i="52" s="1"/>
  <c r="FH20" i="52"/>
  <c r="FG20" i="52"/>
  <c r="FI20" i="52" s="1"/>
  <c r="CE20" i="57"/>
  <c r="CE33" i="53"/>
  <c r="CN33" i="53" s="1"/>
  <c r="CX33" i="53" s="1"/>
  <c r="FW33" i="52"/>
  <c r="CE24" i="57"/>
  <c r="CN24" i="57" s="1"/>
  <c r="FW24" i="52"/>
  <c r="CE24" i="53"/>
  <c r="CN24" i="53" s="1"/>
  <c r="CS24" i="53" s="1"/>
  <c r="CE19" i="53"/>
  <c r="CN19" i="53" s="1"/>
  <c r="CU19" i="53" s="1"/>
  <c r="FW19" i="52"/>
  <c r="CE19" i="57"/>
  <c r="FW16" i="52"/>
  <c r="CE16" i="57"/>
  <c r="CE16" i="53"/>
  <c r="CN16" i="53" s="1"/>
  <c r="CW16" i="53" s="1"/>
  <c r="BD19" i="52"/>
  <c r="FV19" i="52"/>
  <c r="FT19" i="52"/>
  <c r="FY19" i="52" s="1"/>
  <c r="CL18" i="53"/>
  <c r="CL18" i="57"/>
  <c r="GS18" i="52"/>
  <c r="BE36" i="52"/>
  <c r="BC36" i="52"/>
  <c r="CM30" i="52"/>
  <c r="CP30" i="52"/>
  <c r="CI30" i="52"/>
  <c r="CJ30" i="52"/>
  <c r="CR30" i="52"/>
  <c r="CQ30" i="52"/>
  <c r="CT30" i="52"/>
  <c r="CO30" i="52"/>
  <c r="CK30" i="52"/>
  <c r="CN30" i="52"/>
  <c r="CL30" i="52"/>
  <c r="EW23" i="52"/>
  <c r="AU23" i="52" s="1"/>
  <c r="EV23" i="52"/>
  <c r="FB23" i="52"/>
  <c r="EZ23" i="52"/>
  <c r="FD23" i="52"/>
  <c r="FA23" i="52"/>
  <c r="FE23" i="52"/>
  <c r="CN33" i="52"/>
  <c r="CP33" i="52"/>
  <c r="CJ33" i="52"/>
  <c r="CL33" i="52"/>
  <c r="CM33" i="52"/>
  <c r="CT33" i="52"/>
  <c r="CO33" i="52"/>
  <c r="CR33" i="52"/>
  <c r="AZ33" i="52" s="1"/>
  <c r="CI33" i="52"/>
  <c r="CK33" i="52"/>
  <c r="CQ33" i="52"/>
  <c r="FG22" i="52"/>
  <c r="FI22" i="52" s="1"/>
  <c r="FT22" i="52"/>
  <c r="FY22" i="52" s="1"/>
  <c r="FT29" i="52"/>
  <c r="FY29" i="52" s="1"/>
  <c r="FU29" i="52"/>
  <c r="AG16" i="52"/>
  <c r="T15" i="57"/>
  <c r="N15" i="57"/>
  <c r="O15" i="57"/>
  <c r="U15" i="57"/>
  <c r="P15" i="57"/>
  <c r="Q15" i="57"/>
  <c r="R15" i="57"/>
  <c r="S15" i="57"/>
  <c r="FG33" i="52"/>
  <c r="FI33" i="52" s="1"/>
  <c r="FT33" i="52"/>
  <c r="FY33" i="52" s="1"/>
  <c r="FV32" i="52"/>
  <c r="U20" i="57"/>
  <c r="P20" i="57"/>
  <c r="Q20" i="57"/>
  <c r="O20" i="57"/>
  <c r="N20" i="57"/>
  <c r="S20" i="57"/>
  <c r="R20" i="57"/>
  <c r="T20" i="57"/>
  <c r="R21" i="57"/>
  <c r="T21" i="57"/>
  <c r="O21" i="57"/>
  <c r="P21" i="57"/>
  <c r="S21" i="57"/>
  <c r="U21" i="57"/>
  <c r="N21" i="57"/>
  <c r="Q21" i="57"/>
  <c r="P22" i="57"/>
  <c r="N22" i="57"/>
  <c r="T22" i="57"/>
  <c r="Q22" i="57"/>
  <c r="O22" i="57"/>
  <c r="S22" i="57"/>
  <c r="R22" i="57"/>
  <c r="U22" i="57"/>
  <c r="CM32" i="53"/>
  <c r="AZ28" i="52"/>
  <c r="AS28" i="52" s="1"/>
  <c r="AR35" i="52"/>
  <c r="FF35" i="52"/>
  <c r="BG35" i="52" s="1"/>
  <c r="Z24" i="57"/>
  <c r="AC24" i="57" s="1"/>
  <c r="BO24" i="57"/>
  <c r="AN24" i="57"/>
  <c r="AQ24" i="57" s="1"/>
  <c r="AG24" i="57"/>
  <c r="AJ24" i="57" s="1"/>
  <c r="AQ27" i="52"/>
  <c r="FH29" i="52"/>
  <c r="CM24" i="57"/>
  <c r="DE31" i="52"/>
  <c r="CX31" i="52"/>
  <c r="DC31" i="52"/>
  <c r="DD31" i="52"/>
  <c r="DF31" i="52"/>
  <c r="CY31" i="52"/>
  <c r="DG31" i="52"/>
  <c r="CZ31" i="52"/>
  <c r="DB31" i="52"/>
  <c r="DA31" i="52"/>
  <c r="AR28" i="52"/>
  <c r="CH18" i="57"/>
  <c r="CH18" i="53"/>
  <c r="GS29" i="52"/>
  <c r="CL29" i="53"/>
  <c r="AQ32" i="52"/>
  <c r="CV32" i="52"/>
  <c r="CU32" i="52"/>
  <c r="CJ15" i="57"/>
  <c r="CJ15" i="53"/>
  <c r="BF26" i="52"/>
  <c r="BD26" i="52"/>
  <c r="CJ29" i="53"/>
  <c r="GU29" i="52"/>
  <c r="GV29" i="52" s="1"/>
  <c r="BD28" i="52"/>
  <c r="BE28" i="52"/>
  <c r="CK29" i="53"/>
  <c r="CC29" i="53"/>
  <c r="AO32" i="52"/>
  <c r="AF32" i="52"/>
  <c r="AG24" i="52"/>
  <c r="FH24" i="52"/>
  <c r="FT24" i="52"/>
  <c r="FY24" i="52" s="1"/>
  <c r="FV26" i="52"/>
  <c r="FT26" i="52"/>
  <c r="FY26" i="52" s="1"/>
  <c r="BB26" i="52"/>
  <c r="CK18" i="57"/>
  <c r="CK18" i="53"/>
  <c r="CX29" i="52"/>
  <c r="DF29" i="52"/>
  <c r="DG29" i="52"/>
  <c r="DE29" i="52"/>
  <c r="CY29" i="52"/>
  <c r="DA29" i="52"/>
  <c r="DB29" i="52"/>
  <c r="CZ29" i="52"/>
  <c r="DD29" i="52"/>
  <c r="FJ29" i="52" s="1"/>
  <c r="DC29" i="52"/>
  <c r="EV15" i="52"/>
  <c r="FD15" i="52"/>
  <c r="FE15" i="52"/>
  <c r="FA15" i="52"/>
  <c r="EW15" i="52"/>
  <c r="EZ15" i="52"/>
  <c r="FB15" i="52"/>
  <c r="EX21" i="52"/>
  <c r="CE31" i="53"/>
  <c r="FW31" i="52"/>
  <c r="CE25" i="53"/>
  <c r="FW25" i="52"/>
  <c r="CE25" i="57"/>
  <c r="CE34" i="53"/>
  <c r="FW34" i="52"/>
  <c r="FH34" i="52"/>
  <c r="FG34" i="52"/>
  <c r="FI34" i="52" s="1"/>
  <c r="FF34" i="52"/>
  <c r="BG34" i="52" s="1"/>
  <c r="EX17" i="52"/>
  <c r="CM16" i="53"/>
  <c r="DH27" i="52"/>
  <c r="AG32" i="52"/>
  <c r="DB15" i="52"/>
  <c r="DG15" i="52"/>
  <c r="CX15" i="52"/>
  <c r="CY15" i="52"/>
  <c r="CZ15" i="52"/>
  <c r="DF15" i="52"/>
  <c r="DE15" i="52"/>
  <c r="DA15" i="52"/>
  <c r="DD15" i="52"/>
  <c r="DC15" i="52"/>
  <c r="P23" i="57"/>
  <c r="S23" i="57"/>
  <c r="T23" i="57"/>
  <c r="N23" i="57"/>
  <c r="U23" i="57"/>
  <c r="R23" i="57"/>
  <c r="O23" i="57"/>
  <c r="Q23" i="57"/>
  <c r="AG19" i="52"/>
  <c r="O19" i="57"/>
  <c r="U19" i="57"/>
  <c r="S19" i="57"/>
  <c r="Q19" i="57"/>
  <c r="N19" i="57"/>
  <c r="R19" i="57"/>
  <c r="P19" i="57"/>
  <c r="T19" i="57"/>
  <c r="BF36" i="52"/>
  <c r="FV36" i="52"/>
  <c r="FT36" i="52"/>
  <c r="FY36" i="52" s="1"/>
  <c r="CY16" i="52"/>
  <c r="DA16" i="52"/>
  <c r="CZ16" i="52"/>
  <c r="DB16" i="52"/>
  <c r="DG16" i="52"/>
  <c r="CX16" i="52"/>
  <c r="DC16" i="52"/>
  <c r="DD16" i="52"/>
  <c r="DF16" i="52"/>
  <c r="DE16" i="52"/>
  <c r="DB30" i="52"/>
  <c r="CY30" i="52"/>
  <c r="DF30" i="52"/>
  <c r="DA30" i="52"/>
  <c r="DD30" i="52"/>
  <c r="DC30" i="52"/>
  <c r="CZ30" i="52"/>
  <c r="DG30" i="52"/>
  <c r="CX30" i="52"/>
  <c r="DE30" i="52"/>
  <c r="CL15" i="52"/>
  <c r="CQ15" i="52"/>
  <c r="CM15" i="52"/>
  <c r="CK15" i="52"/>
  <c r="CR15" i="52"/>
  <c r="CP15" i="52"/>
  <c r="CJ15" i="52"/>
  <c r="CO15" i="52"/>
  <c r="CN15" i="52"/>
  <c r="CI15" i="52"/>
  <c r="CS17" i="52"/>
  <c r="CS33" i="52"/>
  <c r="FG29" i="52"/>
  <c r="FI29" i="52" s="1"/>
  <c r="FG16" i="52"/>
  <c r="FI16" i="52" s="1"/>
  <c r="FT16" i="52"/>
  <c r="FY16" i="52" s="1"/>
  <c r="AZ35" i="52"/>
  <c r="AS35" i="52" s="1"/>
  <c r="FE31" i="52"/>
  <c r="FA31" i="52"/>
  <c r="FB31" i="52"/>
  <c r="FC31" i="52"/>
  <c r="FD31" i="52"/>
  <c r="EV31" i="52"/>
  <c r="EZ31" i="52"/>
  <c r="EU31" i="52"/>
  <c r="EW31" i="52"/>
  <c r="AU31" i="52" s="1"/>
  <c r="CM24" i="53"/>
  <c r="CM28" i="53"/>
  <c r="N18" i="57"/>
  <c r="P18" i="57"/>
  <c r="R18" i="57"/>
  <c r="T18" i="57"/>
  <c r="S18" i="57"/>
  <c r="Q18" i="57"/>
  <c r="U18" i="57"/>
  <c r="O18" i="57"/>
  <c r="CB18" i="57"/>
  <c r="CB18" i="53"/>
  <c r="AN18" i="52"/>
  <c r="FR18" i="52"/>
  <c r="AL18" i="52"/>
  <c r="FF18" i="52"/>
  <c r="BG18" i="52" s="1"/>
  <c r="FG18" i="52"/>
  <c r="FI18" i="52" s="1"/>
  <c r="FH18" i="52"/>
  <c r="BF18" i="52" s="1"/>
  <c r="FS18" i="52"/>
  <c r="FV18" i="52" s="1"/>
  <c r="BE18" i="52"/>
  <c r="FT25" i="52"/>
  <c r="FY25" i="52" s="1"/>
  <c r="FV25" i="52"/>
  <c r="FF25" i="52"/>
  <c r="BG25" i="52" s="1"/>
  <c r="FG25" i="52"/>
  <c r="FI25" i="52" s="1"/>
  <c r="AG25" i="52"/>
  <c r="DH31" i="52"/>
  <c r="FG35" i="52"/>
  <c r="FI35" i="52" s="1"/>
  <c r="AG35" i="52"/>
  <c r="Y24" i="57"/>
  <c r="AB24" i="57" s="1"/>
  <c r="BB24" i="57"/>
  <c r="BE24" i="57" s="1"/>
  <c r="BV24" i="57"/>
  <c r="AF27" i="52"/>
  <c r="AO27" i="52"/>
  <c r="AS27" i="52"/>
  <c r="BI29" i="52"/>
  <c r="CG29" i="53"/>
  <c r="CC18" i="53"/>
  <c r="CC18" i="57"/>
  <c r="CJ29" i="52"/>
  <c r="CR29" i="52"/>
  <c r="CL29" i="52"/>
  <c r="CN29" i="52"/>
  <c r="CO29" i="52"/>
  <c r="CM29" i="52"/>
  <c r="CI29" i="52"/>
  <c r="CQ29" i="52"/>
  <c r="CK29" i="52"/>
  <c r="CP29" i="52"/>
  <c r="CT29" i="52"/>
  <c r="CE22" i="53"/>
  <c r="CN22" i="53" s="1"/>
  <c r="CX22" i="53" s="1"/>
  <c r="FW22" i="52"/>
  <c r="CE22" i="57"/>
  <c r="CE26" i="57"/>
  <c r="CN26" i="57" s="1"/>
  <c r="CE26" i="53"/>
  <c r="CN26" i="53" s="1"/>
  <c r="CQ26" i="53" s="1"/>
  <c r="FW26" i="52"/>
  <c r="FW32" i="52"/>
  <c r="CE32" i="53"/>
  <c r="EZ17" i="52"/>
  <c r="FC17" i="52"/>
  <c r="EW17" i="52"/>
  <c r="AU17" i="52" s="1"/>
  <c r="EV17" i="52"/>
  <c r="FD17" i="52"/>
  <c r="FB17" i="52"/>
  <c r="AG36" i="52"/>
  <c r="BB36" i="52"/>
  <c r="EV21" i="52"/>
  <c r="FA21" i="52"/>
  <c r="EW21" i="52"/>
  <c r="AU21" i="52" s="1"/>
  <c r="FD21" i="52"/>
  <c r="EZ21" i="52"/>
  <c r="EU21" i="52"/>
  <c r="FE21" i="52"/>
  <c r="FB21" i="52"/>
  <c r="FC21" i="52"/>
  <c r="FF29" i="52"/>
  <c r="BG29" i="52" s="1"/>
  <c r="CT34" i="52"/>
  <c r="CQ34" i="52"/>
  <c r="CL34" i="52"/>
  <c r="CJ34" i="52"/>
  <c r="CR34" i="52"/>
  <c r="CM34" i="52"/>
  <c r="CI34" i="52"/>
  <c r="CK34" i="52"/>
  <c r="CN34" i="52"/>
  <c r="CP34" i="52"/>
  <c r="CO34" i="52"/>
  <c r="CO33" i="53"/>
  <c r="P16" i="57"/>
  <c r="N16" i="57"/>
  <c r="T16" i="57"/>
  <c r="R16" i="57"/>
  <c r="Q16" i="57"/>
  <c r="O16" i="57"/>
  <c r="S16" i="57"/>
  <c r="U16" i="57"/>
  <c r="FE17" i="52"/>
  <c r="EV30" i="52"/>
  <c r="EU30" i="52"/>
  <c r="EW30" i="52"/>
  <c r="AU30" i="52" s="1"/>
  <c r="FD30" i="52"/>
  <c r="EZ30" i="52"/>
  <c r="FE30" i="52"/>
  <c r="FB30" i="52"/>
  <c r="FC30" i="52"/>
  <c r="FA30" i="52"/>
  <c r="FA17" i="52"/>
  <c r="FH35" i="52"/>
  <c r="X24" i="57"/>
  <c r="AA24" i="57" s="1"/>
  <c r="BU24" i="57"/>
  <c r="BN24" i="57"/>
  <c r="AL24" i="57"/>
  <c r="AS24" i="57"/>
  <c r="AZ24" i="57"/>
  <c r="BG24" i="57"/>
  <c r="BH24" i="57"/>
  <c r="BA24" i="57"/>
  <c r="AT24" i="57"/>
  <c r="CV27" i="52"/>
  <c r="CU27" i="52"/>
  <c r="FG32" i="52"/>
  <c r="FI32" i="52" s="1"/>
  <c r="CM33" i="53"/>
  <c r="AM28" i="52"/>
  <c r="BJ28" i="52" s="1"/>
  <c r="AG28" i="52"/>
  <c r="FT28" i="52"/>
  <c r="FY28" i="52" s="1"/>
  <c r="CB15" i="57"/>
  <c r="AN15" i="52"/>
  <c r="CB15" i="53"/>
  <c r="FR15" i="52"/>
  <c r="FS15" i="52"/>
  <c r="FK29" i="52"/>
  <c r="CI29" i="53"/>
  <c r="AP32" i="52"/>
  <c r="EU17" i="52"/>
  <c r="FG24" i="52"/>
  <c r="FI24" i="52" s="1"/>
  <c r="CO24" i="53"/>
  <c r="CQ24" i="53"/>
  <c r="CO24" i="57"/>
  <c r="AG26" i="52"/>
  <c r="CO26" i="57"/>
  <c r="FK18" i="52"/>
  <c r="CI18" i="53"/>
  <c r="CI18" i="57"/>
  <c r="CS29" i="52"/>
  <c r="CL18" i="52"/>
  <c r="CO18" i="52"/>
  <c r="CM18" i="52"/>
  <c r="CI18" i="52"/>
  <c r="CQ18" i="52"/>
  <c r="CP18" i="52"/>
  <c r="CR18" i="52"/>
  <c r="CT18" i="52"/>
  <c r="CJ18" i="52"/>
  <c r="CN18" i="52"/>
  <c r="CK18" i="52"/>
  <c r="DA18" i="52"/>
  <c r="DE18" i="52"/>
  <c r="DD18" i="52"/>
  <c r="CY18" i="52"/>
  <c r="DB18" i="52"/>
  <c r="CX18" i="52"/>
  <c r="CZ18" i="52"/>
  <c r="DC18" i="52"/>
  <c r="DF18" i="52"/>
  <c r="DG18" i="52"/>
  <c r="CE18" i="53"/>
  <c r="CE18" i="57"/>
  <c r="FW18" i="52"/>
  <c r="CE23" i="53"/>
  <c r="CE23" i="57"/>
  <c r="CE28" i="53"/>
  <c r="CN28" i="53" s="1"/>
  <c r="CU28" i="53" s="1"/>
  <c r="FW28" i="52"/>
  <c r="EX15" i="52"/>
  <c r="FH15" i="52" s="1"/>
  <c r="BE15" i="52" s="1"/>
  <c r="CE27" i="53"/>
  <c r="FW27" i="52"/>
  <c r="FG27" i="52"/>
  <c r="FI27" i="52" s="1"/>
  <c r="FF27" i="52"/>
  <c r="BG27" i="52" s="1"/>
  <c r="FH27" i="52"/>
  <c r="FW36" i="52"/>
  <c r="CE36" i="53"/>
  <c r="CN36" i="53" s="1"/>
  <c r="CM16" i="57"/>
  <c r="CT24" i="53"/>
  <c r="AS32" i="52"/>
  <c r="FG19" i="52"/>
  <c r="FI19" i="52" s="1"/>
  <c r="FF19" i="52"/>
  <c r="BG19" i="52" s="1"/>
  <c r="FC23" i="52"/>
  <c r="P25" i="57"/>
  <c r="Q25" i="57"/>
  <c r="O25" i="57"/>
  <c r="T25" i="57"/>
  <c r="S25" i="57"/>
  <c r="N25" i="57"/>
  <c r="R25" i="57"/>
  <c r="U25" i="57"/>
  <c r="FG36" i="52"/>
  <c r="FI36" i="52" s="1"/>
  <c r="CS16" i="52"/>
  <c r="CS30" i="52"/>
  <c r="EU23" i="52"/>
  <c r="DA17" i="52"/>
  <c r="CY17" i="52"/>
  <c r="DE17" i="52"/>
  <c r="CZ17" i="52"/>
  <c r="DG17" i="52"/>
  <c r="DF17" i="52"/>
  <c r="DD17" i="52"/>
  <c r="DC17" i="52"/>
  <c r="DB17" i="52"/>
  <c r="CX17" i="52"/>
  <c r="DD33" i="52"/>
  <c r="DA33" i="52"/>
  <c r="DG33" i="52"/>
  <c r="DC33" i="52"/>
  <c r="DE33" i="52"/>
  <c r="CX33" i="52"/>
  <c r="DF33" i="52"/>
  <c r="DB33" i="52"/>
  <c r="CZ33" i="52"/>
  <c r="CY33" i="52"/>
  <c r="FV22" i="52"/>
  <c r="FF22" i="52"/>
  <c r="BG22" i="52" s="1"/>
  <c r="AL29" i="52"/>
  <c r="FH16" i="52"/>
  <c r="FF16" i="52"/>
  <c r="BG16" i="52" s="1"/>
  <c r="CO16" i="53"/>
  <c r="DE34" i="52"/>
  <c r="CY34" i="52"/>
  <c r="DA34" i="52"/>
  <c r="CX34" i="52"/>
  <c r="DD34" i="52"/>
  <c r="CZ34" i="52"/>
  <c r="DG34" i="52"/>
  <c r="DF34" i="52"/>
  <c r="DB34" i="52"/>
  <c r="DC34" i="52"/>
  <c r="FF33" i="52"/>
  <c r="BG33" i="52" s="1"/>
  <c r="FH33" i="52"/>
  <c r="FV24" i="52"/>
  <c r="AH32" i="52"/>
  <c r="CR35" i="53"/>
  <c r="CM19" i="53"/>
  <c r="O26" i="57"/>
  <c r="S26" i="57"/>
  <c r="P26" i="57"/>
  <c r="U26" i="57"/>
  <c r="N26" i="57"/>
  <c r="R26" i="57"/>
  <c r="T26" i="57"/>
  <c r="Q26" i="57"/>
  <c r="CN31" i="52"/>
  <c r="CK31" i="52"/>
  <c r="CR31" i="52"/>
  <c r="CI31" i="52"/>
  <c r="CJ31" i="52"/>
  <c r="CL31" i="52"/>
  <c r="CO31" i="52"/>
  <c r="CP31" i="52"/>
  <c r="CT31" i="52"/>
  <c r="CM31" i="52"/>
  <c r="CQ31" i="52"/>
  <c r="AM35" i="52"/>
  <c r="FT35" i="52"/>
  <c r="FY35" i="52" s="1"/>
  <c r="FV35" i="52"/>
  <c r="AE24" i="57"/>
  <c r="V24" i="57"/>
  <c r="J24" i="57" s="1"/>
  <c r="AM24" i="57"/>
  <c r="AP24" i="57" s="1"/>
  <c r="BI24" i="57"/>
  <c r="BL24" i="57" s="1"/>
  <c r="BP24" i="57"/>
  <c r="BS24" i="57" s="1"/>
  <c r="AU24" i="57"/>
  <c r="AX24" i="57" s="1"/>
  <c r="AF24" i="57"/>
  <c r="BW24" i="57"/>
  <c r="BZ24" i="57" s="1"/>
  <c r="AP27" i="52"/>
  <c r="AI27" i="52"/>
  <c r="D27" i="52" s="1"/>
  <c r="AH27" i="52"/>
  <c r="AH24" i="57" l="1"/>
  <c r="E24" i="57"/>
  <c r="FU16" i="52"/>
  <c r="BI15" i="52"/>
  <c r="CN16" i="57"/>
  <c r="BB25" i="52"/>
  <c r="BJ35" i="52"/>
  <c r="CM19" i="57"/>
  <c r="AW28" i="52"/>
  <c r="AX28" i="52"/>
  <c r="BF19" i="52"/>
  <c r="CN25" i="57"/>
  <c r="AJ15" i="52"/>
  <c r="AU15" i="52"/>
  <c r="CT16" i="53"/>
  <c r="CM36" i="53"/>
  <c r="CK19" i="52"/>
  <c r="CM19" i="52"/>
  <c r="CN19" i="52"/>
  <c r="CS19" i="52"/>
  <c r="CL19" i="52"/>
  <c r="CP19" i="52"/>
  <c r="CR19" i="52"/>
  <c r="AZ19" i="52" s="1"/>
  <c r="AS19" i="52" s="1"/>
  <c r="CI19" i="52"/>
  <c r="CQ19" i="52"/>
  <c r="CO19" i="52"/>
  <c r="AF19" i="52" s="1"/>
  <c r="CJ19" i="52"/>
  <c r="FU35" i="52"/>
  <c r="FL16" i="52"/>
  <c r="CU16" i="53"/>
  <c r="FL18" i="52"/>
  <c r="CS16" i="53"/>
  <c r="CX16" i="53"/>
  <c r="FL31" i="52"/>
  <c r="G24" i="57"/>
  <c r="CF20" i="52"/>
  <c r="CT20" i="52" s="1"/>
  <c r="FV34" i="52"/>
  <c r="FT34" i="52"/>
  <c r="FY34" i="52" s="1"/>
  <c r="AD36" i="52"/>
  <c r="AO24" i="57"/>
  <c r="BF25" i="52"/>
  <c r="AR36" i="52"/>
  <c r="CM35" i="53"/>
  <c r="Q22" i="52"/>
  <c r="CE21" i="52"/>
  <c r="H24" i="57"/>
  <c r="DI34" i="52"/>
  <c r="CQ16" i="53"/>
  <c r="AW24" i="57"/>
  <c r="AO15" i="52"/>
  <c r="AL15" i="52"/>
  <c r="CM27" i="53"/>
  <c r="DI16" i="52"/>
  <c r="AG20" i="52"/>
  <c r="FU20" i="52"/>
  <c r="DI17" i="52"/>
  <c r="BD18" i="52"/>
  <c r="CO22" i="53"/>
  <c r="CM20" i="53"/>
  <c r="CO26" i="53"/>
  <c r="FF15" i="52"/>
  <c r="AZ34" i="52"/>
  <c r="CN22" i="57"/>
  <c r="BB18" i="52"/>
  <c r="BC18" i="52"/>
  <c r="FL30" i="52"/>
  <c r="FU36" i="52"/>
  <c r="FU26" i="52"/>
  <c r="CN19" i="57"/>
  <c r="FT27" i="52"/>
  <c r="FY27" i="52" s="1"/>
  <c r="FV27" i="52"/>
  <c r="BB19" i="52"/>
  <c r="BE19" i="52"/>
  <c r="CM20" i="57"/>
  <c r="AZ36" i="52"/>
  <c r="AS36" i="52" s="1"/>
  <c r="AI18" i="52"/>
  <c r="D18" i="52" s="1"/>
  <c r="C35" i="52"/>
  <c r="BP35" i="52" s="1"/>
  <c r="DI18" i="52"/>
  <c r="BD15" i="52"/>
  <c r="CN25" i="53"/>
  <c r="CQ25" i="53" s="1"/>
  <c r="FU22" i="52"/>
  <c r="AW36" i="52"/>
  <c r="AW22" i="52"/>
  <c r="BE26" i="52"/>
  <c r="BC26" i="52"/>
  <c r="CM18" i="57"/>
  <c r="CX28" i="53"/>
  <c r="CW24" i="53"/>
  <c r="CV33" i="53"/>
  <c r="CT28" i="53"/>
  <c r="CU24" i="53"/>
  <c r="CO28" i="53"/>
  <c r="CV24" i="53"/>
  <c r="CY24" i="53" s="1"/>
  <c r="CW33" i="53"/>
  <c r="CO19" i="53"/>
  <c r="CR16" i="53"/>
  <c r="CT33" i="53"/>
  <c r="CV28" i="53"/>
  <c r="CO25" i="53"/>
  <c r="CU33" i="53"/>
  <c r="CQ33" i="53"/>
  <c r="CX24" i="53"/>
  <c r="CR33" i="53"/>
  <c r="CS33" i="53"/>
  <c r="CR24" i="53"/>
  <c r="FQ36" i="52"/>
  <c r="FX36" i="52"/>
  <c r="AD27" i="52"/>
  <c r="AR27" i="52"/>
  <c r="AM27" i="52"/>
  <c r="Y26" i="57"/>
  <c r="BV26" i="57"/>
  <c r="BB26" i="57"/>
  <c r="BE26" i="57" s="1"/>
  <c r="AG25" i="57"/>
  <c r="AJ25" i="57" s="1"/>
  <c r="Z25" i="57"/>
  <c r="AC25" i="57" s="1"/>
  <c r="BO25" i="57"/>
  <c r="AN25" i="57"/>
  <c r="AQ25" i="57" s="1"/>
  <c r="CV36" i="53"/>
  <c r="CS36" i="53"/>
  <c r="CW36" i="53"/>
  <c r="CT36" i="53"/>
  <c r="CR36" i="53"/>
  <c r="CU36" i="53"/>
  <c r="CX36" i="53"/>
  <c r="CM29" i="53"/>
  <c r="BD35" i="52"/>
  <c r="BB35" i="52"/>
  <c r="BC35" i="52"/>
  <c r="BF35" i="52"/>
  <c r="BE35" i="52"/>
  <c r="BB16" i="57"/>
  <c r="BE16" i="57" s="1"/>
  <c r="Y16" i="57"/>
  <c r="BV16" i="57"/>
  <c r="AI34" i="52"/>
  <c r="D34" i="52" s="1"/>
  <c r="AH34" i="52"/>
  <c r="AP34" i="52"/>
  <c r="AJ21" i="52"/>
  <c r="BO21" i="52"/>
  <c r="BL21" i="52"/>
  <c r="BQ21" i="52"/>
  <c r="CD21" i="53"/>
  <c r="BR21" i="52"/>
  <c r="BN21" i="52"/>
  <c r="BK21" i="52"/>
  <c r="CD21" i="57"/>
  <c r="BM21" i="52"/>
  <c r="AF18" i="57"/>
  <c r="AU18" i="57"/>
  <c r="AX18" i="57" s="1"/>
  <c r="BW18" i="57"/>
  <c r="BZ18" i="57" s="1"/>
  <c r="BI18" i="57"/>
  <c r="BL18" i="57" s="1"/>
  <c r="BP18" i="57"/>
  <c r="BS18" i="57" s="1"/>
  <c r="CJ31" i="53"/>
  <c r="GU31" i="52"/>
  <c r="CE21" i="53"/>
  <c r="FW21" i="52"/>
  <c r="CE21" i="57"/>
  <c r="J22" i="57"/>
  <c r="AM21" i="57"/>
  <c r="AE21" i="57"/>
  <c r="V21" i="57"/>
  <c r="J21" i="57" s="1"/>
  <c r="BI20" i="57"/>
  <c r="BL20" i="57" s="1"/>
  <c r="BP20" i="57"/>
  <c r="BS20" i="57" s="1"/>
  <c r="AU20" i="57"/>
  <c r="AX20" i="57" s="1"/>
  <c r="AF20" i="57"/>
  <c r="BW20" i="57"/>
  <c r="BZ20" i="57" s="1"/>
  <c r="Z20" i="57"/>
  <c r="AC20" i="57" s="1"/>
  <c r="AG20" i="57"/>
  <c r="AJ20" i="57" s="1"/>
  <c r="AN20" i="57"/>
  <c r="AQ20" i="57" s="1"/>
  <c r="BO20" i="57"/>
  <c r="AG15" i="57"/>
  <c r="AJ15" i="57" s="1"/>
  <c r="AN15" i="57"/>
  <c r="AQ15" i="57" s="1"/>
  <c r="Z15" i="57"/>
  <c r="AC15" i="57" s="1"/>
  <c r="BO15" i="57"/>
  <c r="GS23" i="52"/>
  <c r="CL23" i="53"/>
  <c r="CL23" i="57"/>
  <c r="AE17" i="57"/>
  <c r="AM17" i="57"/>
  <c r="V17" i="57"/>
  <c r="K17" i="57" s="1"/>
  <c r="DI27" i="52"/>
  <c r="CU35" i="53"/>
  <c r="CV35" i="53"/>
  <c r="CW35" i="53"/>
  <c r="CS35" i="53"/>
  <c r="CT35" i="53"/>
  <c r="CN29" i="53"/>
  <c r="CR29" i="53" s="1"/>
  <c r="AI24" i="57"/>
  <c r="D24" i="57"/>
  <c r="CQ35" i="53"/>
  <c r="AO31" i="52"/>
  <c r="AF31" i="52"/>
  <c r="AP31" i="52"/>
  <c r="AE26" i="57"/>
  <c r="V26" i="57"/>
  <c r="D26" i="57" s="1"/>
  <c r="AM26" i="57"/>
  <c r="BG26" i="57"/>
  <c r="BN26" i="57"/>
  <c r="AL26" i="57"/>
  <c r="AS26" i="57"/>
  <c r="BU26" i="57"/>
  <c r="AZ26" i="57"/>
  <c r="X26" i="57"/>
  <c r="AD32" i="52"/>
  <c r="AM32" i="52"/>
  <c r="AR32" i="52"/>
  <c r="Y25" i="57"/>
  <c r="AB25" i="57" s="1"/>
  <c r="BV25" i="57"/>
  <c r="BB25" i="57"/>
  <c r="BE25" i="57" s="1"/>
  <c r="BA25" i="57"/>
  <c r="BH25" i="57"/>
  <c r="AT25" i="57"/>
  <c r="CR28" i="53"/>
  <c r="CW28" i="53"/>
  <c r="AQ18" i="52"/>
  <c r="CU18" i="52"/>
  <c r="CV18" i="52"/>
  <c r="CM18" i="53"/>
  <c r="N24" i="53" a="1"/>
  <c r="BB15" i="52"/>
  <c r="BC15" i="52"/>
  <c r="C28" i="52"/>
  <c r="BP28" i="52" s="1"/>
  <c r="F24" i="57"/>
  <c r="BJ24" i="57"/>
  <c r="BQ24" i="57"/>
  <c r="CH17" i="57"/>
  <c r="CH17" i="53"/>
  <c r="FK30" i="52"/>
  <c r="CI30" i="53"/>
  <c r="FJ30" i="52"/>
  <c r="BM30" i="52"/>
  <c r="BQ30" i="52"/>
  <c r="BO30" i="52"/>
  <c r="BK30" i="52"/>
  <c r="BN30" i="52"/>
  <c r="CD30" i="53"/>
  <c r="BR30" i="52"/>
  <c r="AJ30" i="52"/>
  <c r="BL30" i="52"/>
  <c r="AI30" i="52"/>
  <c r="D30" i="52" s="1"/>
  <c r="AH30" i="52"/>
  <c r="AL16" i="57"/>
  <c r="X16" i="57"/>
  <c r="BU16" i="57"/>
  <c r="AS16" i="57"/>
  <c r="AZ16" i="57"/>
  <c r="BG16" i="57"/>
  <c r="BN16" i="57"/>
  <c r="V16" i="57"/>
  <c r="I16" i="57" s="1"/>
  <c r="AE16" i="57"/>
  <c r="D16" i="57"/>
  <c r="AM16" i="57"/>
  <c r="CU34" i="52"/>
  <c r="CV34" i="52"/>
  <c r="AL21" i="52"/>
  <c r="FS21" i="52"/>
  <c r="FV21" i="52" s="1"/>
  <c r="FR21" i="52"/>
  <c r="AN21" i="52"/>
  <c r="BD21" i="52"/>
  <c r="FH21" i="52"/>
  <c r="BC21" i="52" s="1"/>
  <c r="FF21" i="52"/>
  <c r="BG21" i="52" s="1"/>
  <c r="CB21" i="57"/>
  <c r="FG21" i="52"/>
  <c r="FI21" i="52" s="1"/>
  <c r="CB21" i="53"/>
  <c r="BE21" i="52"/>
  <c r="CH21" i="53"/>
  <c r="CH21" i="57"/>
  <c r="CK17" i="57"/>
  <c r="CK17" i="53"/>
  <c r="CG17" i="57"/>
  <c r="CG17" i="53"/>
  <c r="BI17" i="52"/>
  <c r="AP29" i="52"/>
  <c r="AI29" i="52"/>
  <c r="D29" i="52" s="1"/>
  <c r="AH29" i="52"/>
  <c r="K24" i="57"/>
  <c r="FU25" i="52"/>
  <c r="CO18" i="53"/>
  <c r="AG18" i="57"/>
  <c r="AJ18" i="57" s="1"/>
  <c r="BO18" i="57"/>
  <c r="Z18" i="57"/>
  <c r="AC18" i="57" s="1"/>
  <c r="AN18" i="57"/>
  <c r="AQ18" i="57" s="1"/>
  <c r="AT18" i="57"/>
  <c r="BH18" i="57"/>
  <c r="BK18" i="57" s="1"/>
  <c r="BA18" i="57"/>
  <c r="BI31" i="52"/>
  <c r="CG31" i="53"/>
  <c r="FK31" i="52"/>
  <c r="CI31" i="53"/>
  <c r="FJ31" i="52"/>
  <c r="CO22" i="57"/>
  <c r="BA19" i="57"/>
  <c r="AT19" i="57"/>
  <c r="BH19" i="57"/>
  <c r="Y19" i="57"/>
  <c r="BB19" i="57"/>
  <c r="BE19" i="57" s="1"/>
  <c r="BV19" i="57"/>
  <c r="AU23" i="57"/>
  <c r="AX23" i="57" s="1"/>
  <c r="BP23" i="57"/>
  <c r="BS23" i="57" s="1"/>
  <c r="BI23" i="57"/>
  <c r="BL23" i="57" s="1"/>
  <c r="AF23" i="57"/>
  <c r="BW23" i="57"/>
  <c r="BZ23" i="57" s="1"/>
  <c r="BV23" i="57"/>
  <c r="BY23" i="57" s="1"/>
  <c r="Y23" i="57"/>
  <c r="BB23" i="57"/>
  <c r="BE23" i="57" s="1"/>
  <c r="FW17" i="52"/>
  <c r="CE17" i="57"/>
  <c r="CE17" i="53"/>
  <c r="CW25" i="53"/>
  <c r="CT25" i="53"/>
  <c r="CR25" i="53"/>
  <c r="CS25" i="53"/>
  <c r="CU25" i="53"/>
  <c r="FK15" i="52"/>
  <c r="CI15" i="57"/>
  <c r="CI15" i="53"/>
  <c r="FJ15" i="52"/>
  <c r="GS15" i="52"/>
  <c r="CL15" i="57"/>
  <c r="CL15" i="53"/>
  <c r="DI29" i="52"/>
  <c r="DI31" i="52"/>
  <c r="BB29" i="52"/>
  <c r="BF29" i="52"/>
  <c r="BE29" i="52"/>
  <c r="BC29" i="52"/>
  <c r="BD29" i="52"/>
  <c r="BB22" i="57"/>
  <c r="BE22" i="57" s="1"/>
  <c r="BV22" i="57"/>
  <c r="Y22" i="57"/>
  <c r="AM22" i="57"/>
  <c r="V22" i="57"/>
  <c r="I22" i="57" s="1"/>
  <c r="AE22" i="57"/>
  <c r="K21" i="57"/>
  <c r="BV20" i="57"/>
  <c r="BB20" i="57"/>
  <c r="BE20" i="57" s="1"/>
  <c r="Y20" i="57"/>
  <c r="AB20" i="57" s="1"/>
  <c r="AT20" i="57"/>
  <c r="BH20" i="57"/>
  <c r="BK20" i="57" s="1"/>
  <c r="BA20" i="57"/>
  <c r="BD20" i="57" s="1"/>
  <c r="CS28" i="53"/>
  <c r="BH15" i="57"/>
  <c r="AT15" i="57"/>
  <c r="BA15" i="57"/>
  <c r="CH23" i="57"/>
  <c r="CH23" i="53"/>
  <c r="CC23" i="53"/>
  <c r="CC23" i="57"/>
  <c r="AP30" i="52"/>
  <c r="AF30" i="52"/>
  <c r="AO30" i="52"/>
  <c r="FU19" i="52"/>
  <c r="Y17" i="57"/>
  <c r="BB17" i="57"/>
  <c r="BE17" i="57" s="1"/>
  <c r="BV17" i="57"/>
  <c r="I17" i="57"/>
  <c r="BA17" i="57"/>
  <c r="AT17" i="57"/>
  <c r="BH17" i="57"/>
  <c r="CV16" i="53"/>
  <c r="N16" i="53" s="1" a="1"/>
  <c r="AF17" i="52"/>
  <c r="AO17" i="52"/>
  <c r="AO16" i="52"/>
  <c r="AF16" i="52"/>
  <c r="AS16" i="52"/>
  <c r="AP16" i="52"/>
  <c r="AI16" i="52"/>
  <c r="D16" i="52" s="1"/>
  <c r="AH16" i="52"/>
  <c r="FL27" i="52"/>
  <c r="AU26" i="57"/>
  <c r="AX26" i="57" s="1"/>
  <c r="BW26" i="57"/>
  <c r="BZ26" i="57" s="1"/>
  <c r="BP26" i="57"/>
  <c r="BS26" i="57" s="1"/>
  <c r="AF26" i="57"/>
  <c r="BI26" i="57"/>
  <c r="BL26" i="57" s="1"/>
  <c r="H26" i="57"/>
  <c r="BF33" i="52"/>
  <c r="BB33" i="52"/>
  <c r="BD33" i="52"/>
  <c r="BC33" i="52"/>
  <c r="BE33" i="52"/>
  <c r="CJ30" i="53"/>
  <c r="GU30" i="52"/>
  <c r="CL21" i="53"/>
  <c r="CL21" i="57"/>
  <c r="GS21" i="52"/>
  <c r="FK17" i="52"/>
  <c r="CI17" i="57"/>
  <c r="CI17" i="53"/>
  <c r="FJ17" i="52"/>
  <c r="AO29" i="52"/>
  <c r="AF29" i="52"/>
  <c r="BO19" i="57"/>
  <c r="AG19" i="57"/>
  <c r="AJ19" i="57" s="1"/>
  <c r="Z19" i="57"/>
  <c r="AC19" i="57" s="1"/>
  <c r="AN19" i="57"/>
  <c r="AQ19" i="57" s="1"/>
  <c r="BE24" i="52"/>
  <c r="BB24" i="52"/>
  <c r="BC24" i="52"/>
  <c r="BD24" i="52"/>
  <c r="BF24" i="52"/>
  <c r="CO29" i="53"/>
  <c r="FK23" i="52"/>
  <c r="CI23" i="53"/>
  <c r="CI23" i="57"/>
  <c r="FJ23" i="52"/>
  <c r="AW23" i="52" s="1"/>
  <c r="AZ18" i="52"/>
  <c r="AS18" i="52" s="1"/>
  <c r="CO35" i="53"/>
  <c r="BB27" i="52"/>
  <c r="BD27" i="52"/>
  <c r="BE27" i="52"/>
  <c r="BC27" i="52"/>
  <c r="BF27" i="52"/>
  <c r="CN18" i="57"/>
  <c r="AO18" i="52"/>
  <c r="AF18" i="52"/>
  <c r="FT15" i="52"/>
  <c r="FU15" i="52" s="1"/>
  <c r="AG15" i="52"/>
  <c r="BD24" i="57"/>
  <c r="BC24" i="57"/>
  <c r="BX24" i="57"/>
  <c r="CL30" i="53"/>
  <c r="GS30" i="52"/>
  <c r="FS30" i="52"/>
  <c r="FV30" i="52" s="1"/>
  <c r="CB30" i="53"/>
  <c r="FR30" i="52"/>
  <c r="AN30" i="52"/>
  <c r="AL30" i="52"/>
  <c r="FF30" i="52"/>
  <c r="BG30" i="52" s="1"/>
  <c r="FG30" i="52"/>
  <c r="FI30" i="52" s="1"/>
  <c r="FH30" i="52"/>
  <c r="BE30" i="52" s="1"/>
  <c r="AR30" i="52"/>
  <c r="CL17" i="57"/>
  <c r="GS17" i="52"/>
  <c r="CL17" i="53"/>
  <c r="Z16" i="57"/>
  <c r="AC16" i="57" s="1"/>
  <c r="AG16" i="57"/>
  <c r="AJ16" i="57" s="1"/>
  <c r="BO16" i="57"/>
  <c r="G16" i="57"/>
  <c r="AN16" i="57"/>
  <c r="AQ16" i="57" s="1"/>
  <c r="F16" i="57"/>
  <c r="AT16" i="57"/>
  <c r="BA16" i="57"/>
  <c r="BD16" i="57" s="1"/>
  <c r="BH16" i="57"/>
  <c r="AO34" i="52"/>
  <c r="AF34" i="52"/>
  <c r="AS34" i="52"/>
  <c r="GU21" i="52"/>
  <c r="CJ21" i="57"/>
  <c r="CJ21" i="53"/>
  <c r="CG21" i="53"/>
  <c r="BI21" i="52"/>
  <c r="CG21" i="57"/>
  <c r="CC21" i="57"/>
  <c r="CC21" i="53"/>
  <c r="CC17" i="57"/>
  <c r="CC17" i="53"/>
  <c r="CW26" i="53"/>
  <c r="CV26" i="53"/>
  <c r="CR26" i="53"/>
  <c r="CT26" i="53"/>
  <c r="CX26" i="53"/>
  <c r="CU26" i="53"/>
  <c r="CS26" i="53"/>
  <c r="CR22" i="53"/>
  <c r="CT22" i="53"/>
  <c r="CQ22" i="53"/>
  <c r="CU22" i="53"/>
  <c r="CW22" i="53"/>
  <c r="CV22" i="53"/>
  <c r="BY24" i="57"/>
  <c r="FT18" i="52"/>
  <c r="FY18" i="52" s="1"/>
  <c r="AG18" i="52"/>
  <c r="CO18" i="57"/>
  <c r="Y18" i="57"/>
  <c r="AB18" i="57" s="1"/>
  <c r="BV18" i="57"/>
  <c r="BY18" i="57" s="1"/>
  <c r="BB18" i="57"/>
  <c r="BE18" i="57" s="1"/>
  <c r="V18" i="57"/>
  <c r="D18" i="57" s="1"/>
  <c r="AE18" i="57"/>
  <c r="AH18" i="57" s="1"/>
  <c r="AM18" i="57"/>
  <c r="CC31" i="53"/>
  <c r="CH31" i="53"/>
  <c r="AP15" i="52"/>
  <c r="AW30" i="52"/>
  <c r="AX16" i="52"/>
  <c r="FJ16" i="52"/>
  <c r="CQ36" i="53"/>
  <c r="FZ36" i="52"/>
  <c r="GA36" i="52" s="1"/>
  <c r="AU19" i="57"/>
  <c r="AX19" i="57" s="1"/>
  <c r="BP19" i="57"/>
  <c r="BS19" i="57" s="1"/>
  <c r="AF19" i="57"/>
  <c r="AI19" i="57" s="1"/>
  <c r="BI19" i="57"/>
  <c r="BL19" i="57" s="1"/>
  <c r="BW19" i="57"/>
  <c r="BZ19" i="57" s="1"/>
  <c r="BH23" i="57"/>
  <c r="BK23" i="57" s="1"/>
  <c r="BA23" i="57"/>
  <c r="AT23" i="57"/>
  <c r="AW23" i="57" s="1"/>
  <c r="FL15" i="52"/>
  <c r="AW15" i="52" s="1"/>
  <c r="DI15" i="52"/>
  <c r="CN34" i="53"/>
  <c r="CO34" i="53"/>
  <c r="CG15" i="53"/>
  <c r="CG15" i="57"/>
  <c r="CK15" i="53"/>
  <c r="CK15" i="57"/>
  <c r="FL29" i="52"/>
  <c r="AW29" i="52" s="1"/>
  <c r="GU15" i="52"/>
  <c r="GV15" i="52" s="1"/>
  <c r="CX29" i="53"/>
  <c r="AW31" i="52"/>
  <c r="AQ15" i="52"/>
  <c r="BR24" i="57"/>
  <c r="BG22" i="57"/>
  <c r="BJ22" i="57" s="1"/>
  <c r="AS22" i="57"/>
  <c r="AV22" i="57" s="1"/>
  <c r="E22" i="57"/>
  <c r="AL22" i="57"/>
  <c r="X22" i="57"/>
  <c r="AA22" i="57" s="1"/>
  <c r="AZ22" i="57"/>
  <c r="BC22" i="57" s="1"/>
  <c r="BN22" i="57"/>
  <c r="BQ22" i="57" s="1"/>
  <c r="BU22" i="57"/>
  <c r="BX22" i="57" s="1"/>
  <c r="AT22" i="57"/>
  <c r="BH22" i="57"/>
  <c r="F22" i="57"/>
  <c r="BA22" i="57"/>
  <c r="BB21" i="57"/>
  <c r="BE21" i="57" s="1"/>
  <c r="BV21" i="57"/>
  <c r="I21" i="57"/>
  <c r="Y21" i="57"/>
  <c r="BI21" i="57"/>
  <c r="BL21" i="57" s="1"/>
  <c r="BW21" i="57"/>
  <c r="BZ21" i="57" s="1"/>
  <c r="AF21" i="57"/>
  <c r="AU21" i="57"/>
  <c r="AX21" i="57" s="1"/>
  <c r="BP21" i="57"/>
  <c r="BS21" i="57" s="1"/>
  <c r="H21" i="57"/>
  <c r="AE20" i="57"/>
  <c r="AH20" i="57" s="1"/>
  <c r="V20" i="57"/>
  <c r="F20" i="57" s="1"/>
  <c r="AM20" i="57"/>
  <c r="AP20" i="57" s="1"/>
  <c r="K20" i="57"/>
  <c r="Y15" i="57"/>
  <c r="AB15" i="57" s="1"/>
  <c r="BB15" i="57"/>
  <c r="BE15" i="57" s="1"/>
  <c r="BV15" i="57"/>
  <c r="AP33" i="52"/>
  <c r="AI33" i="52"/>
  <c r="D33" i="52" s="1"/>
  <c r="AH33" i="52"/>
  <c r="AQ33" i="52"/>
  <c r="CK23" i="53"/>
  <c r="CK23" i="57"/>
  <c r="CD23" i="57"/>
  <c r="CD23" i="53"/>
  <c r="BM23" i="52"/>
  <c r="BN23" i="52"/>
  <c r="BK23" i="52"/>
  <c r="BR23" i="52"/>
  <c r="BL23" i="52"/>
  <c r="BQ23" i="52"/>
  <c r="BO23" i="52"/>
  <c r="AJ23" i="52"/>
  <c r="CN20" i="57"/>
  <c r="CO20" i="57"/>
  <c r="BG17" i="57"/>
  <c r="E17" i="57"/>
  <c r="X17" i="57"/>
  <c r="BN17" i="57"/>
  <c r="AL17" i="57"/>
  <c r="BU17" i="57"/>
  <c r="AZ17" i="57"/>
  <c r="BC17" i="57" s="1"/>
  <c r="AS17" i="57"/>
  <c r="AU17" i="57"/>
  <c r="AX17" i="57" s="1"/>
  <c r="BP17" i="57"/>
  <c r="BS17" i="57" s="1"/>
  <c r="BI17" i="57"/>
  <c r="BL17" i="57" s="1"/>
  <c r="AF17" i="57"/>
  <c r="H17" i="57"/>
  <c r="BW17" i="57"/>
  <c r="BZ17" i="57" s="1"/>
  <c r="CU17" i="52"/>
  <c r="CV17" i="52"/>
  <c r="AQ16" i="52"/>
  <c r="AX27" i="52"/>
  <c r="FJ27" i="52"/>
  <c r="AG29" i="52"/>
  <c r="V25" i="57"/>
  <c r="G25" i="57" s="1"/>
  <c r="AE25" i="57"/>
  <c r="AM25" i="57"/>
  <c r="AP25" i="57" s="1"/>
  <c r="CB17" i="57"/>
  <c r="FH17" i="52"/>
  <c r="BC17" i="52" s="1"/>
  <c r="CB17" i="53"/>
  <c r="FS17" i="52"/>
  <c r="FV17" i="52" s="1"/>
  <c r="FG17" i="52"/>
  <c r="FI17" i="52" s="1"/>
  <c r="BF17" i="52"/>
  <c r="AN17" i="52"/>
  <c r="FR17" i="52"/>
  <c r="FF17" i="52"/>
  <c r="BB17" i="52"/>
  <c r="AL17" i="52"/>
  <c r="BD17" i="52"/>
  <c r="BE17" i="52"/>
  <c r="CK30" i="53"/>
  <c r="GV30" i="52"/>
  <c r="J16" i="57"/>
  <c r="CJ17" i="57"/>
  <c r="GU17" i="52"/>
  <c r="GV17" i="52" s="1"/>
  <c r="CJ17" i="53"/>
  <c r="FR31" i="52"/>
  <c r="FH31" i="52"/>
  <c r="BB31" i="52" s="1"/>
  <c r="FF31" i="52"/>
  <c r="BG31" i="52" s="1"/>
  <c r="CB31" i="53"/>
  <c r="FG31" i="52"/>
  <c r="FI31" i="52" s="1"/>
  <c r="FS31" i="52"/>
  <c r="AN31" i="52"/>
  <c r="AL31" i="52"/>
  <c r="CU15" i="52"/>
  <c r="CV15" i="52"/>
  <c r="AW16" i="52"/>
  <c r="BN23" i="57"/>
  <c r="AS23" i="57"/>
  <c r="AV23" i="57" s="1"/>
  <c r="X23" i="57"/>
  <c r="AA23" i="57" s="1"/>
  <c r="BU23" i="57"/>
  <c r="BX23" i="57" s="1"/>
  <c r="BG23" i="57"/>
  <c r="AL23" i="57"/>
  <c r="AZ23" i="57"/>
  <c r="BC23" i="57" s="1"/>
  <c r="BC34" i="52"/>
  <c r="BD34" i="52"/>
  <c r="BE34" i="52"/>
  <c r="BF34" i="52"/>
  <c r="BB34" i="52"/>
  <c r="CH15" i="57"/>
  <c r="CH15" i="53"/>
  <c r="BI22" i="57"/>
  <c r="BL22" i="57" s="1"/>
  <c r="BW22" i="57"/>
  <c r="BZ22" i="57" s="1"/>
  <c r="H22" i="57"/>
  <c r="BP22" i="57"/>
  <c r="BS22" i="57" s="1"/>
  <c r="AF22" i="57"/>
  <c r="AU22" i="57"/>
  <c r="AX22" i="57" s="1"/>
  <c r="X21" i="57"/>
  <c r="AL21" i="57"/>
  <c r="BN21" i="57"/>
  <c r="AZ21" i="57"/>
  <c r="BG21" i="57"/>
  <c r="AS21" i="57"/>
  <c r="BU21" i="57"/>
  <c r="E21" i="57"/>
  <c r="V15" i="57"/>
  <c r="I15" i="57" s="1"/>
  <c r="AM15" i="57"/>
  <c r="AP15" i="57" s="1"/>
  <c r="D15" i="57"/>
  <c r="AE15" i="57"/>
  <c r="CX19" i="53"/>
  <c r="CR19" i="53"/>
  <c r="CT19" i="53"/>
  <c r="CW19" i="53"/>
  <c r="CV19" i="53"/>
  <c r="CS19" i="53"/>
  <c r="BF20" i="52"/>
  <c r="BE20" i="52"/>
  <c r="BB20" i="52"/>
  <c r="BC20" i="52"/>
  <c r="BD20" i="52"/>
  <c r="BJ27" i="52"/>
  <c r="FN35" i="52"/>
  <c r="FO35" i="52" s="1"/>
  <c r="FP35" i="52" s="1"/>
  <c r="AQ31" i="52"/>
  <c r="Z26" i="57"/>
  <c r="AC26" i="57" s="1"/>
  <c r="BO26" i="57"/>
  <c r="BR26" i="57" s="1"/>
  <c r="AG26" i="57"/>
  <c r="AJ26" i="57" s="1"/>
  <c r="AN26" i="57"/>
  <c r="AQ26" i="57" s="1"/>
  <c r="G26" i="57"/>
  <c r="K26" i="57"/>
  <c r="DI33" i="52"/>
  <c r="CB23" i="57"/>
  <c r="FR23" i="52"/>
  <c r="CB23" i="53"/>
  <c r="AN23" i="52"/>
  <c r="AL23" i="52"/>
  <c r="FF23" i="52"/>
  <c r="BG23" i="52" s="1"/>
  <c r="BB23" i="52"/>
  <c r="FS23" i="52"/>
  <c r="FH23" i="52"/>
  <c r="BE23" i="52" s="1"/>
  <c r="BF23" i="52"/>
  <c r="FG23" i="52"/>
  <c r="FI23" i="52" s="1"/>
  <c r="BD23" i="52"/>
  <c r="J25" i="57"/>
  <c r="CJ23" i="53"/>
  <c r="CJ23" i="57"/>
  <c r="GU23" i="52"/>
  <c r="GV23" i="52" s="1"/>
  <c r="CN27" i="53"/>
  <c r="CO27" i="53"/>
  <c r="AP18" i="52"/>
  <c r="CV31" i="52"/>
  <c r="CU31" i="52"/>
  <c r="J26" i="57"/>
  <c r="BA26" i="57"/>
  <c r="BD26" i="57" s="1"/>
  <c r="AT26" i="57"/>
  <c r="AW26" i="57" s="1"/>
  <c r="BH26" i="57"/>
  <c r="BK26" i="57" s="1"/>
  <c r="F26" i="57"/>
  <c r="FJ34" i="52"/>
  <c r="FL34" i="52"/>
  <c r="BC16" i="52"/>
  <c r="BD16" i="52"/>
  <c r="BB16" i="52"/>
  <c r="BF16" i="52"/>
  <c r="BE16" i="52"/>
  <c r="FL33" i="52"/>
  <c r="AX33" i="52" s="1"/>
  <c r="FJ33" i="52"/>
  <c r="FL17" i="52"/>
  <c r="AW17" i="52" s="1"/>
  <c r="BI25" i="57"/>
  <c r="BL25" i="57" s="1"/>
  <c r="BW25" i="57"/>
  <c r="BZ25" i="57" s="1"/>
  <c r="AU25" i="57"/>
  <c r="AX25" i="57" s="1"/>
  <c r="BP25" i="57"/>
  <c r="BS25" i="57" s="1"/>
  <c r="AF25" i="57"/>
  <c r="AI25" i="57" s="1"/>
  <c r="H25" i="57"/>
  <c r="BU25" i="57"/>
  <c r="BG25" i="57"/>
  <c r="BJ25" i="57" s="1"/>
  <c r="AL25" i="57"/>
  <c r="AO25" i="57" s="1"/>
  <c r="AZ25" i="57"/>
  <c r="BC25" i="57" s="1"/>
  <c r="AS25" i="57"/>
  <c r="AV25" i="57" s="1"/>
  <c r="X25" i="57"/>
  <c r="AA25" i="57" s="1"/>
  <c r="BN25" i="57"/>
  <c r="BQ25" i="57" s="1"/>
  <c r="CE15" i="57"/>
  <c r="CE15" i="53"/>
  <c r="FW15" i="52"/>
  <c r="CN18" i="53"/>
  <c r="CR18" i="53" s="1"/>
  <c r="AX18" i="52"/>
  <c r="FJ18" i="52"/>
  <c r="AW18" i="52" s="1"/>
  <c r="FG15" i="52"/>
  <c r="FI15" i="52" s="1"/>
  <c r="BF15" i="52"/>
  <c r="FU28" i="52"/>
  <c r="FN28" i="52"/>
  <c r="FO28" i="52" s="1"/>
  <c r="FP28" i="52" s="1"/>
  <c r="BK24" i="57"/>
  <c r="AV24" i="57"/>
  <c r="CH30" i="53"/>
  <c r="BI30" i="52"/>
  <c r="CG30" i="53"/>
  <c r="CC30" i="53"/>
  <c r="K16" i="57"/>
  <c r="H16" i="57"/>
  <c r="AF16" i="57"/>
  <c r="AI16" i="57" s="1"/>
  <c r="BI16" i="57"/>
  <c r="BL16" i="57" s="1"/>
  <c r="BW16" i="57"/>
  <c r="BZ16" i="57" s="1"/>
  <c r="AU16" i="57"/>
  <c r="AX16" i="57" s="1"/>
  <c r="BP16" i="57"/>
  <c r="BS16" i="57" s="1"/>
  <c r="CY33" i="53"/>
  <c r="N33" i="53" a="1"/>
  <c r="AQ34" i="52"/>
  <c r="FK21" i="52"/>
  <c r="CI21" i="57"/>
  <c r="FJ21" i="52"/>
  <c r="AW21" i="52" s="1"/>
  <c r="CI21" i="53"/>
  <c r="CK21" i="53"/>
  <c r="GV21" i="52"/>
  <c r="CK21" i="57"/>
  <c r="BR17" i="52"/>
  <c r="BN17" i="52"/>
  <c r="CD17" i="57"/>
  <c r="AJ17" i="52"/>
  <c r="BO17" i="52"/>
  <c r="BG17" i="52"/>
  <c r="CD17" i="53"/>
  <c r="BQ17" i="52"/>
  <c r="AI17" i="52"/>
  <c r="D17" i="52" s="1"/>
  <c r="BK17" i="52"/>
  <c r="BL17" i="52"/>
  <c r="AH17" i="52"/>
  <c r="AD17" i="52" s="1"/>
  <c r="BM17" i="52"/>
  <c r="CN32" i="53"/>
  <c r="CO32" i="53"/>
  <c r="AQ29" i="52"/>
  <c r="CV29" i="52"/>
  <c r="CU29" i="52"/>
  <c r="CT29" i="53"/>
  <c r="I24" i="57"/>
  <c r="X18" i="57"/>
  <c r="AA18" i="57" s="1"/>
  <c r="BG18" i="57"/>
  <c r="BJ18" i="57" s="1"/>
  <c r="E18" i="57"/>
  <c r="BN18" i="57"/>
  <c r="BQ18" i="57" s="1"/>
  <c r="AZ18" i="57"/>
  <c r="BC18" i="57" s="1"/>
  <c r="AS18" i="57"/>
  <c r="AV18" i="57" s="1"/>
  <c r="BU18" i="57"/>
  <c r="BX18" i="57" s="1"/>
  <c r="AL18" i="57"/>
  <c r="AO18" i="57" s="1"/>
  <c r="J18" i="57"/>
  <c r="CD31" i="53"/>
  <c r="BK31" i="52"/>
  <c r="BO31" i="52"/>
  <c r="BN31" i="52"/>
  <c r="BM31" i="52"/>
  <c r="FV31" i="52"/>
  <c r="AJ31" i="52"/>
  <c r="AH31" i="52"/>
  <c r="AD31" i="52" s="1"/>
  <c r="BL31" i="52"/>
  <c r="BQ31" i="52"/>
  <c r="AI31" i="52"/>
  <c r="D31" i="52" s="1"/>
  <c r="BR31" i="52"/>
  <c r="CK31" i="53"/>
  <c r="GV31" i="52"/>
  <c r="GS31" i="52"/>
  <c r="CL31" i="53"/>
  <c r="CS22" i="53"/>
  <c r="AF15" i="52"/>
  <c r="DI30" i="52"/>
  <c r="AX30" i="52"/>
  <c r="CO36" i="53"/>
  <c r="AM19" i="57"/>
  <c r="AP19" i="57" s="1"/>
  <c r="V19" i="57"/>
  <c r="F19" i="57" s="1"/>
  <c r="AE19" i="57"/>
  <c r="AH19" i="57" s="1"/>
  <c r="D19" i="57"/>
  <c r="X19" i="57"/>
  <c r="AA19" i="57" s="1"/>
  <c r="AZ19" i="57"/>
  <c r="BC19" i="57" s="1"/>
  <c r="E19" i="57"/>
  <c r="BN19" i="57"/>
  <c r="BQ19" i="57" s="1"/>
  <c r="AL19" i="57"/>
  <c r="AO19" i="57" s="1"/>
  <c r="AS19" i="57"/>
  <c r="AV19" i="57" s="1"/>
  <c r="BU19" i="57"/>
  <c r="BX19" i="57" s="1"/>
  <c r="BG19" i="57"/>
  <c r="BJ19" i="57" s="1"/>
  <c r="BO23" i="57"/>
  <c r="BR23" i="57" s="1"/>
  <c r="Z23" i="57"/>
  <c r="AC23" i="57" s="1"/>
  <c r="AN23" i="57"/>
  <c r="AQ23" i="57" s="1"/>
  <c r="AG23" i="57"/>
  <c r="AJ23" i="57" s="1"/>
  <c r="AM23" i="57"/>
  <c r="AE23" i="57"/>
  <c r="V23" i="57"/>
  <c r="I23" i="57" s="1"/>
  <c r="BM15" i="52"/>
  <c r="BK15" i="52"/>
  <c r="CD15" i="57"/>
  <c r="BR15" i="52"/>
  <c r="BN15" i="52"/>
  <c r="BL15" i="52"/>
  <c r="BQ15" i="52"/>
  <c r="BO15" i="52"/>
  <c r="BG15" i="52"/>
  <c r="AI15" i="52"/>
  <c r="D15" i="52" s="1"/>
  <c r="FV15" i="52"/>
  <c r="AH15" i="52"/>
  <c r="CD15" i="53"/>
  <c r="CC15" i="57"/>
  <c r="CC15" i="53"/>
  <c r="FY15" i="52"/>
  <c r="CW18" i="53"/>
  <c r="FU24" i="52"/>
  <c r="AZ29" i="52"/>
  <c r="AS29" i="52" s="1"/>
  <c r="CQ28" i="53"/>
  <c r="AX31" i="52"/>
  <c r="K22" i="57"/>
  <c r="AG22" i="57"/>
  <c r="AJ22" i="57" s="1"/>
  <c r="AN22" i="57"/>
  <c r="AQ22" i="57" s="1"/>
  <c r="G22" i="57"/>
  <c r="Z22" i="57"/>
  <c r="AC22" i="57" s="1"/>
  <c r="BO22" i="57"/>
  <c r="BR22" i="57" s="1"/>
  <c r="AG21" i="57"/>
  <c r="AJ21" i="57" s="1"/>
  <c r="BO21" i="57"/>
  <c r="BR21" i="57" s="1"/>
  <c r="Z21" i="57"/>
  <c r="AC21" i="57" s="1"/>
  <c r="G21" i="57"/>
  <c r="AN21" i="57"/>
  <c r="AQ21" i="57" s="1"/>
  <c r="AT21" i="57"/>
  <c r="AW21" i="57" s="1"/>
  <c r="BH21" i="57"/>
  <c r="BA21" i="57"/>
  <c r="BD21" i="57" s="1"/>
  <c r="F21" i="57"/>
  <c r="J20" i="57"/>
  <c r="AL20" i="57"/>
  <c r="X20" i="57"/>
  <c r="AA20" i="57" s="1"/>
  <c r="BU20" i="57"/>
  <c r="BX20" i="57" s="1"/>
  <c r="AS20" i="57"/>
  <c r="AV20" i="57" s="1"/>
  <c r="BN20" i="57"/>
  <c r="BQ20" i="57" s="1"/>
  <c r="BG20" i="57"/>
  <c r="BJ20" i="57" s="1"/>
  <c r="AZ20" i="57"/>
  <c r="BC20" i="57" s="1"/>
  <c r="E20" i="57"/>
  <c r="FU33" i="52"/>
  <c r="H15" i="57"/>
  <c r="AU15" i="57"/>
  <c r="AX15" i="57" s="1"/>
  <c r="AF15" i="57"/>
  <c r="AI15" i="57" s="1"/>
  <c r="BP15" i="57"/>
  <c r="BS15" i="57" s="1"/>
  <c r="BI15" i="57"/>
  <c r="BL15" i="57" s="1"/>
  <c r="BW15" i="57"/>
  <c r="BZ15" i="57" s="1"/>
  <c r="BG15" i="57"/>
  <c r="BJ15" i="57" s="1"/>
  <c r="BU15" i="57"/>
  <c r="AZ15" i="57"/>
  <c r="BC15" i="57" s="1"/>
  <c r="X15" i="57"/>
  <c r="AA15" i="57" s="1"/>
  <c r="AS15" i="57"/>
  <c r="AV15" i="57" s="1"/>
  <c r="BN15" i="57"/>
  <c r="BQ15" i="57" s="1"/>
  <c r="AL15" i="57"/>
  <c r="E15" i="57"/>
  <c r="CV33" i="52"/>
  <c r="CU33" i="52"/>
  <c r="AO33" i="52"/>
  <c r="AF33" i="52"/>
  <c r="AS33" i="52"/>
  <c r="CG23" i="53"/>
  <c r="BI23" i="52"/>
  <c r="CG23" i="57"/>
  <c r="AQ30" i="52"/>
  <c r="CU30" i="52"/>
  <c r="CV30" i="52"/>
  <c r="CQ19" i="53"/>
  <c r="CN20" i="53"/>
  <c r="CO20" i="53"/>
  <c r="AN17" i="57"/>
  <c r="AQ17" i="57" s="1"/>
  <c r="BO17" i="57"/>
  <c r="BR17" i="57" s="1"/>
  <c r="Z17" i="57"/>
  <c r="AC17" i="57" s="1"/>
  <c r="AG17" i="57"/>
  <c r="AJ17" i="57" s="1"/>
  <c r="G17" i="57"/>
  <c r="J17" i="57"/>
  <c r="FU32" i="52"/>
  <c r="CO16" i="57"/>
  <c r="AQ17" i="52"/>
  <c r="AP17" i="52"/>
  <c r="CU16" i="52"/>
  <c r="CV16" i="52"/>
  <c r="AH18" i="52"/>
  <c r="E25" i="57" l="1"/>
  <c r="BX21" i="57"/>
  <c r="K19" i="57"/>
  <c r="K25" i="57"/>
  <c r="CF21" i="52"/>
  <c r="CT21" i="52"/>
  <c r="Q23" i="52"/>
  <c r="CE22" i="52"/>
  <c r="AO15" i="57"/>
  <c r="CN20" i="52"/>
  <c r="CJ20" i="52"/>
  <c r="AQ20" i="52" s="1"/>
  <c r="CM20" i="52"/>
  <c r="CQ20" i="52"/>
  <c r="AZ20" i="52" s="1"/>
  <c r="AS20" i="52" s="1"/>
  <c r="CK20" i="52"/>
  <c r="CR20" i="52"/>
  <c r="CL20" i="52"/>
  <c r="CI20" i="52"/>
  <c r="CS20" i="52"/>
  <c r="CP20" i="52"/>
  <c r="CO20" i="52"/>
  <c r="AF20" i="52" s="1"/>
  <c r="BK21" i="57"/>
  <c r="AH15" i="57"/>
  <c r="BC21" i="57"/>
  <c r="CV19" i="52"/>
  <c r="D23" i="57"/>
  <c r="BD23" i="57"/>
  <c r="BK16" i="57"/>
  <c r="I20" i="57"/>
  <c r="CX25" i="53"/>
  <c r="BF21" i="52"/>
  <c r="FU27" i="52"/>
  <c r="AO19" i="52"/>
  <c r="AW17" i="57"/>
  <c r="CV25" i="53"/>
  <c r="CY25" i="53" s="1"/>
  <c r="BK19" i="57"/>
  <c r="AI19" i="52"/>
  <c r="D19" i="52" s="1"/>
  <c r="AP19" i="52"/>
  <c r="AH19" i="52"/>
  <c r="AO20" i="57"/>
  <c r="D25" i="57"/>
  <c r="F17" i="57"/>
  <c r="BY20" i="57"/>
  <c r="BD18" i="57"/>
  <c r="C36" i="52"/>
  <c r="BP36" i="52" s="1"/>
  <c r="CU19" i="52"/>
  <c r="FU34" i="52"/>
  <c r="BD17" i="57"/>
  <c r="BD19" i="57"/>
  <c r="AQ19" i="52"/>
  <c r="FU18" i="52"/>
  <c r="BB21" i="52"/>
  <c r="AD30" i="52"/>
  <c r="BD31" i="52"/>
  <c r="CN31" i="53"/>
  <c r="CS31" i="53" s="1"/>
  <c r="AW34" i="52"/>
  <c r="BC23" i="52"/>
  <c r="CM21" i="57"/>
  <c r="CY16" i="53"/>
  <c r="CN23" i="57"/>
  <c r="CN30" i="53"/>
  <c r="CX30" i="53" s="1"/>
  <c r="CO15" i="57"/>
  <c r="CO17" i="57"/>
  <c r="N26" i="53" a="1"/>
  <c r="S26" i="53" s="1"/>
  <c r="CN23" i="53"/>
  <c r="CS23" i="53" s="1"/>
  <c r="R16" i="53"/>
  <c r="P16" i="53"/>
  <c r="Q16" i="53"/>
  <c r="U16" i="53"/>
  <c r="T16" i="53"/>
  <c r="O16" i="53"/>
  <c r="N16" i="53"/>
  <c r="S16" i="53"/>
  <c r="CY28" i="53"/>
  <c r="N28" i="53" a="1"/>
  <c r="FX35" i="52"/>
  <c r="FZ35" i="52" s="1"/>
  <c r="GA35" i="52" s="1"/>
  <c r="FQ35" i="52"/>
  <c r="CO17" i="53"/>
  <c r="BX17" i="57"/>
  <c r="BY15" i="57"/>
  <c r="AI21" i="57"/>
  <c r="N36" i="53" a="1"/>
  <c r="CY36" i="53"/>
  <c r="CR31" i="53"/>
  <c r="I18" i="57"/>
  <c r="BC30" i="52"/>
  <c r="AZ30" i="52"/>
  <c r="AS30" i="52" s="1"/>
  <c r="CM23" i="57"/>
  <c r="G19" i="57"/>
  <c r="CM17" i="53"/>
  <c r="CS18" i="53"/>
  <c r="BY17" i="57"/>
  <c r="AW15" i="57"/>
  <c r="AP22" i="57"/>
  <c r="AZ15" i="52"/>
  <c r="AS15" i="52" s="1"/>
  <c r="CM15" i="57"/>
  <c r="I19" i="57"/>
  <c r="G18" i="57"/>
  <c r="AG21" i="52"/>
  <c r="BJ16" i="57"/>
  <c r="BX16" i="57"/>
  <c r="CU18" i="53"/>
  <c r="AW25" i="57"/>
  <c r="BY25" i="57"/>
  <c r="FN32" i="52"/>
  <c r="FO32" i="52" s="1"/>
  <c r="FP32" i="52" s="1"/>
  <c r="C32" i="52"/>
  <c r="BP32" i="52" s="1"/>
  <c r="BC26" i="57"/>
  <c r="BQ26" i="57"/>
  <c r="CQ29" i="53"/>
  <c r="CS29" i="53"/>
  <c r="AP17" i="57"/>
  <c r="CT18" i="53"/>
  <c r="BR15" i="57"/>
  <c r="G20" i="57"/>
  <c r="CN21" i="53"/>
  <c r="CR21" i="53" s="1"/>
  <c r="CU29" i="53"/>
  <c r="BR25" i="57"/>
  <c r="FO27" i="52"/>
  <c r="FP27" i="52" s="1"/>
  <c r="FN27" i="52"/>
  <c r="C27" i="52"/>
  <c r="BP27" i="52" s="1"/>
  <c r="CX20" i="53"/>
  <c r="CW20" i="53"/>
  <c r="CR20" i="53"/>
  <c r="CV20" i="53"/>
  <c r="CS20" i="53"/>
  <c r="CQ20" i="53"/>
  <c r="CT20" i="53"/>
  <c r="CU20" i="53"/>
  <c r="CO23" i="53"/>
  <c r="Q33" i="53"/>
  <c r="R33" i="53"/>
  <c r="S33" i="53"/>
  <c r="U33" i="53"/>
  <c r="N33" i="53"/>
  <c r="O33" i="53"/>
  <c r="T33" i="53"/>
  <c r="P33" i="53"/>
  <c r="BQ21" i="57"/>
  <c r="AI22" i="57"/>
  <c r="AO23" i="57"/>
  <c r="AM31" i="52"/>
  <c r="BJ31" i="52" s="1"/>
  <c r="FT31" i="52"/>
  <c r="FY31" i="52" s="1"/>
  <c r="BC31" i="52"/>
  <c r="CV18" i="53"/>
  <c r="AO17" i="57"/>
  <c r="BJ17" i="57"/>
  <c r="BY21" i="57"/>
  <c r="BK22" i="57"/>
  <c r="K23" i="57"/>
  <c r="AP18" i="57"/>
  <c r="AM30" i="52"/>
  <c r="C30" i="52" s="1"/>
  <c r="BP30" i="52" s="1"/>
  <c r="BB30" i="52"/>
  <c r="CM23" i="53"/>
  <c r="J23" i="57"/>
  <c r="CM17" i="57"/>
  <c r="AW27" i="52"/>
  <c r="J15" i="57"/>
  <c r="BK15" i="57"/>
  <c r="D22" i="57"/>
  <c r="L22" i="57" s="1"/>
  <c r="AX29" i="52"/>
  <c r="H23" i="57"/>
  <c r="AW19" i="57"/>
  <c r="AD29" i="52"/>
  <c r="AR29" i="52"/>
  <c r="AM29" i="52"/>
  <c r="CO21" i="53"/>
  <c r="AH16" i="57"/>
  <c r="E16" i="57"/>
  <c r="L16" i="57" s="1"/>
  <c r="AA16" i="57"/>
  <c r="BK25" i="57"/>
  <c r="BX26" i="57"/>
  <c r="BJ26" i="57"/>
  <c r="AH26" i="57"/>
  <c r="N35" i="53" a="1"/>
  <c r="CY35" i="53"/>
  <c r="D17" i="57"/>
  <c r="L17" i="57" s="1"/>
  <c r="G15" i="57"/>
  <c r="BR20" i="57"/>
  <c r="H20" i="57"/>
  <c r="D21" i="57"/>
  <c r="L21" i="57" s="1"/>
  <c r="CV29" i="53"/>
  <c r="AI18" i="57"/>
  <c r="I26" i="57"/>
  <c r="CM21" i="53"/>
  <c r="CW27" i="53"/>
  <c r="CR27" i="53"/>
  <c r="CX27" i="53"/>
  <c r="CT27" i="53"/>
  <c r="CS27" i="53"/>
  <c r="CQ27" i="53"/>
  <c r="CV27" i="53"/>
  <c r="CU27" i="53"/>
  <c r="AD18" i="52"/>
  <c r="AR18" i="52"/>
  <c r="AM18" i="52"/>
  <c r="CY19" i="53"/>
  <c r="N19" i="53" a="1"/>
  <c r="AD15" i="52"/>
  <c r="AR15" i="52"/>
  <c r="AM15" i="52"/>
  <c r="AH23" i="57"/>
  <c r="G23" i="57"/>
  <c r="CT32" i="53"/>
  <c r="CQ32" i="53"/>
  <c r="CS32" i="53"/>
  <c r="CX32" i="53"/>
  <c r="CR32" i="53"/>
  <c r="CU32" i="53"/>
  <c r="CV32" i="53"/>
  <c r="CW32" i="53"/>
  <c r="CN15" i="53"/>
  <c r="CW15" i="53" s="1"/>
  <c r="AW33" i="52"/>
  <c r="AX34" i="52"/>
  <c r="FT23" i="52"/>
  <c r="FY23" i="52" s="1"/>
  <c r="AG23" i="52"/>
  <c r="CO23" i="57"/>
  <c r="AV21" i="57"/>
  <c r="AO21" i="57"/>
  <c r="AX15" i="52"/>
  <c r="BJ23" i="57"/>
  <c r="BQ23" i="57"/>
  <c r="AR31" i="52"/>
  <c r="AG31" i="52"/>
  <c r="K18" i="57"/>
  <c r="AI17" i="57"/>
  <c r="AV17" i="57"/>
  <c r="BQ17" i="57"/>
  <c r="CX18" i="53"/>
  <c r="FV23" i="52"/>
  <c r="K15" i="57"/>
  <c r="AW22" i="57"/>
  <c r="CT34" i="53"/>
  <c r="CW34" i="53"/>
  <c r="CV34" i="53"/>
  <c r="CS34" i="53"/>
  <c r="CQ34" i="53"/>
  <c r="CU34" i="53"/>
  <c r="CR34" i="53"/>
  <c r="CX34" i="53"/>
  <c r="H19" i="57"/>
  <c r="AW16" i="57"/>
  <c r="BR16" i="57"/>
  <c r="AZ17" i="52"/>
  <c r="AS17" i="52" s="1"/>
  <c r="BD30" i="52"/>
  <c r="CO30" i="53"/>
  <c r="BR19" i="57"/>
  <c r="AI26" i="57"/>
  <c r="AD16" i="52"/>
  <c r="AR16" i="52"/>
  <c r="AM16" i="52"/>
  <c r="BJ16" i="52" s="1"/>
  <c r="AB17" i="57"/>
  <c r="F15" i="57"/>
  <c r="L15" i="57" s="1"/>
  <c r="AW20" i="57"/>
  <c r="AH22" i="57"/>
  <c r="AB22" i="57"/>
  <c r="CN17" i="53"/>
  <c r="CQ17" i="53" s="1"/>
  <c r="AB23" i="57"/>
  <c r="AB19" i="57"/>
  <c r="CM31" i="53"/>
  <c r="CU31" i="53"/>
  <c r="CT31" i="53"/>
  <c r="F18" i="57"/>
  <c r="BR18" i="57"/>
  <c r="CQ18" i="53"/>
  <c r="BC16" i="57"/>
  <c r="AO16" i="57"/>
  <c r="CS30" i="53"/>
  <c r="T24" i="53"/>
  <c r="N24" i="53"/>
  <c r="O24" i="53"/>
  <c r="P24" i="53"/>
  <c r="R24" i="53"/>
  <c r="Q24" i="53"/>
  <c r="S24" i="53"/>
  <c r="U24" i="53"/>
  <c r="BD25" i="57"/>
  <c r="I25" i="57"/>
  <c r="E26" i="57"/>
  <c r="L26" i="57" s="1"/>
  <c r="AV26" i="57"/>
  <c r="L24" i="57"/>
  <c r="AH17" i="57"/>
  <c r="AH21" i="57"/>
  <c r="CN21" i="57"/>
  <c r="H18" i="57"/>
  <c r="BY16" i="57"/>
  <c r="BY26" i="57"/>
  <c r="CY26" i="53"/>
  <c r="BJ32" i="52"/>
  <c r="AZ31" i="52"/>
  <c r="AS31" i="52" s="1"/>
  <c r="FX28" i="52"/>
  <c r="FZ28" i="52" s="1"/>
  <c r="GA28" i="52" s="1"/>
  <c r="FQ28" i="52"/>
  <c r="AM17" i="52"/>
  <c r="BX15" i="57"/>
  <c r="AP23" i="57"/>
  <c r="CX31" i="53"/>
  <c r="CW31" i="53"/>
  <c r="BJ30" i="52"/>
  <c r="CN15" i="57"/>
  <c r="BX25" i="57"/>
  <c r="AX17" i="52"/>
  <c r="BJ21" i="57"/>
  <c r="AA21" i="57"/>
  <c r="E23" i="57"/>
  <c r="L23" i="57" s="1"/>
  <c r="BE31" i="52"/>
  <c r="BF31" i="52"/>
  <c r="CO31" i="53"/>
  <c r="CQ31" i="53"/>
  <c r="CW30" i="53"/>
  <c r="AG17" i="52"/>
  <c r="FT17" i="52"/>
  <c r="FY17" i="52" s="1"/>
  <c r="FU17" i="52"/>
  <c r="AR17" i="52"/>
  <c r="AH25" i="57"/>
  <c r="AA17" i="57"/>
  <c r="AD33" i="52"/>
  <c r="AR33" i="52"/>
  <c r="AM33" i="52"/>
  <c r="D20" i="57"/>
  <c r="AB21" i="57"/>
  <c r="BD22" i="57"/>
  <c r="AO22" i="57"/>
  <c r="F23" i="57"/>
  <c r="GB36" i="52"/>
  <c r="GC36" i="52" s="1"/>
  <c r="GD36" i="52" s="1"/>
  <c r="GE36" i="52" s="1"/>
  <c r="GG36" i="52"/>
  <c r="CY22" i="53"/>
  <c r="N22" i="53" a="1"/>
  <c r="BF30" i="52"/>
  <c r="AG30" i="52"/>
  <c r="FT30" i="52"/>
  <c r="FY30" i="52" s="1"/>
  <c r="CO15" i="53"/>
  <c r="J19" i="57"/>
  <c r="BK17" i="57"/>
  <c r="BD15" i="57"/>
  <c r="BY22" i="57"/>
  <c r="CW29" i="53"/>
  <c r="CM15" i="53"/>
  <c r="CN17" i="57"/>
  <c r="AI23" i="57"/>
  <c r="BY19" i="57"/>
  <c r="AW18" i="57"/>
  <c r="CO21" i="57"/>
  <c r="FT21" i="52"/>
  <c r="FY21" i="52" s="1"/>
  <c r="AP16" i="57"/>
  <c r="BQ16" i="57"/>
  <c r="AV16" i="57"/>
  <c r="CM30" i="53"/>
  <c r="F25" i="57"/>
  <c r="L25" i="57" s="1"/>
  <c r="AA26" i="57"/>
  <c r="AO26" i="57"/>
  <c r="AP26" i="57"/>
  <c r="AI20" i="57"/>
  <c r="AP21" i="57"/>
  <c r="CV31" i="53"/>
  <c r="AD34" i="52"/>
  <c r="AM34" i="52"/>
  <c r="BJ34" i="52" s="1"/>
  <c r="AR34" i="52"/>
  <c r="AB16" i="57"/>
  <c r="AB26" i="57"/>
  <c r="L20" i="57" l="1"/>
  <c r="CS17" i="53"/>
  <c r="CR23" i="53"/>
  <c r="CK21" i="52"/>
  <c r="CS21" i="52"/>
  <c r="CI21" i="52"/>
  <c r="CP21" i="52"/>
  <c r="CN21" i="52"/>
  <c r="CQ21" i="52"/>
  <c r="CL21" i="52"/>
  <c r="CJ21" i="52"/>
  <c r="AQ21" i="52" s="1"/>
  <c r="CO21" i="52"/>
  <c r="CM21" i="52"/>
  <c r="CR21" i="52"/>
  <c r="CX23" i="53"/>
  <c r="L19" i="57"/>
  <c r="AO20" i="52"/>
  <c r="CU20" i="52"/>
  <c r="CV20" i="52"/>
  <c r="N25" i="53" a="1"/>
  <c r="CX15" i="53"/>
  <c r="CU23" i="53"/>
  <c r="CU15" i="53"/>
  <c r="CT23" i="53"/>
  <c r="L18" i="57"/>
  <c r="AM19" i="52"/>
  <c r="AR19" i="52"/>
  <c r="AD19" i="52"/>
  <c r="CF22" i="52"/>
  <c r="CT22" i="52"/>
  <c r="CQ23" i="53"/>
  <c r="AI20" i="52"/>
  <c r="D20" i="52" s="1"/>
  <c r="AH20" i="52"/>
  <c r="AP20" i="52"/>
  <c r="Q24" i="52"/>
  <c r="CE23" i="52"/>
  <c r="FU23" i="52"/>
  <c r="FU21" i="52"/>
  <c r="CW23" i="53"/>
  <c r="GH36" i="52"/>
  <c r="CU17" i="53"/>
  <c r="N26" i="53"/>
  <c r="AF26" i="53" s="1"/>
  <c r="U26" i="53"/>
  <c r="CV17" i="53"/>
  <c r="P26" i="53"/>
  <c r="CV21" i="53"/>
  <c r="CT15" i="53"/>
  <c r="CV23" i="53"/>
  <c r="T26" i="53"/>
  <c r="CU30" i="53"/>
  <c r="CR17" i="53"/>
  <c r="CT30" i="53"/>
  <c r="CX21" i="53"/>
  <c r="CX17" i="53"/>
  <c r="CV30" i="53"/>
  <c r="Q26" i="53"/>
  <c r="O26" i="53"/>
  <c r="BI26" i="53" s="1"/>
  <c r="BL26" i="53" s="1"/>
  <c r="CT17" i="53"/>
  <c r="CY17" i="53" s="1"/>
  <c r="CR30" i="53"/>
  <c r="CW17" i="53"/>
  <c r="CQ30" i="53"/>
  <c r="CW21" i="53"/>
  <c r="R26" i="53"/>
  <c r="FQ32" i="52"/>
  <c r="FX32" i="52"/>
  <c r="FZ32" i="52" s="1"/>
  <c r="GA32" i="52" s="1"/>
  <c r="R19" i="53"/>
  <c r="Q19" i="53"/>
  <c r="O19" i="53"/>
  <c r="U19" i="53"/>
  <c r="P19" i="53"/>
  <c r="S19" i="53"/>
  <c r="N19" i="53"/>
  <c r="T19" i="53"/>
  <c r="AN33" i="53"/>
  <c r="AQ33" i="53" s="1"/>
  <c r="Z33" i="53"/>
  <c r="AC33" i="53" s="1"/>
  <c r="AG33" i="53"/>
  <c r="AJ33" i="53" s="1"/>
  <c r="BO33" i="53"/>
  <c r="FN33" i="52"/>
  <c r="FO33" i="52" s="1"/>
  <c r="FP33" i="52" s="1"/>
  <c r="C33" i="52"/>
  <c r="BP33" i="52" s="1"/>
  <c r="FN17" i="52"/>
  <c r="FO17" i="52" s="1"/>
  <c r="FP17" i="52" s="1"/>
  <c r="BH24" i="53"/>
  <c r="BA24" i="53"/>
  <c r="AT24" i="53"/>
  <c r="BJ17" i="52"/>
  <c r="FN16" i="52"/>
  <c r="FO16" i="52" s="1"/>
  <c r="FP16" i="52" s="1"/>
  <c r="C16" i="52"/>
  <c r="BP16" i="52" s="1"/>
  <c r="CU21" i="53"/>
  <c r="CS21" i="53"/>
  <c r="FN29" i="52"/>
  <c r="FO29" i="52" s="1"/>
  <c r="FP29" i="52" s="1"/>
  <c r="C29" i="52"/>
  <c r="BP29" i="52" s="1"/>
  <c r="AT33" i="53"/>
  <c r="BA33" i="53"/>
  <c r="BH33" i="53"/>
  <c r="V16" i="53"/>
  <c r="D16" i="53" s="1"/>
  <c r="AM16" i="53"/>
  <c r="AE16" i="53"/>
  <c r="BO16" i="53"/>
  <c r="Z16" i="53"/>
  <c r="AC16" i="53" s="1"/>
  <c r="AN16" i="53"/>
  <c r="AQ16" i="53" s="1"/>
  <c r="AG16" i="53"/>
  <c r="AJ16" i="53" s="1"/>
  <c r="BJ29" i="52"/>
  <c r="P22" i="53"/>
  <c r="U22" i="53"/>
  <c r="R22" i="53"/>
  <c r="T22" i="53"/>
  <c r="Q22" i="53"/>
  <c r="N22" i="53"/>
  <c r="S22" i="53"/>
  <c r="O22" i="53"/>
  <c r="X24" i="53"/>
  <c r="AS24" i="53"/>
  <c r="FN15" i="52"/>
  <c r="FO15" i="52" s="1"/>
  <c r="FP15" i="52" s="1"/>
  <c r="C15" i="52"/>
  <c r="BP15" i="52" s="1"/>
  <c r="BJ15" i="52"/>
  <c r="N31" i="53" a="1"/>
  <c r="CY31" i="53"/>
  <c r="BV24" i="53"/>
  <c r="BI24" i="53"/>
  <c r="BL24" i="53" s="1"/>
  <c r="BB24" i="53"/>
  <c r="BE24" i="53" s="1"/>
  <c r="Y24" i="53"/>
  <c r="BG24" i="53"/>
  <c r="AL24" i="53"/>
  <c r="BN24" i="53"/>
  <c r="AZ24" i="53"/>
  <c r="BU24" i="53"/>
  <c r="CY18" i="53"/>
  <c r="N18" i="53" a="1"/>
  <c r="CY34" i="53"/>
  <c r="N34" i="53" a="1"/>
  <c r="CV15" i="53"/>
  <c r="CQ15" i="53"/>
  <c r="FN18" i="52"/>
  <c r="FO18" i="52" s="1"/>
  <c r="FP18" i="52" s="1"/>
  <c r="C18" i="52"/>
  <c r="BP18" i="52" s="1"/>
  <c r="BJ18" i="52"/>
  <c r="O35" i="53"/>
  <c r="U35" i="53"/>
  <c r="P35" i="53"/>
  <c r="S35" i="53"/>
  <c r="T35" i="53"/>
  <c r="Q35" i="53"/>
  <c r="N35" i="53"/>
  <c r="R35" i="53"/>
  <c r="BJ33" i="52"/>
  <c r="FU31" i="52"/>
  <c r="AS33" i="53"/>
  <c r="X33" i="53"/>
  <c r="BI33" i="53"/>
  <c r="BL33" i="53" s="1"/>
  <c r="BV33" i="53"/>
  <c r="Y33" i="53"/>
  <c r="BB33" i="53"/>
  <c r="BE33" i="53" s="1"/>
  <c r="N20" i="53" a="1"/>
  <c r="CY20" i="53"/>
  <c r="N29" i="53" a="1"/>
  <c r="CY29" i="53"/>
  <c r="CT21" i="53"/>
  <c r="T28" i="53"/>
  <c r="N28" i="53"/>
  <c r="O28" i="53"/>
  <c r="U28" i="53"/>
  <c r="R28" i="53"/>
  <c r="P28" i="53"/>
  <c r="Q28" i="53"/>
  <c r="S28" i="53"/>
  <c r="BG16" i="53"/>
  <c r="AL16" i="53"/>
  <c r="BU16" i="53"/>
  <c r="BN16" i="53"/>
  <c r="AZ16" i="53"/>
  <c r="E16" i="53"/>
  <c r="AT16" i="53"/>
  <c r="BH16" i="53"/>
  <c r="BA16" i="53"/>
  <c r="BP24" i="53"/>
  <c r="BS24" i="53" s="1"/>
  <c r="BW24" i="53"/>
  <c r="BZ24" i="53" s="1"/>
  <c r="AF24" i="53"/>
  <c r="AU24" i="53"/>
  <c r="AX24" i="53" s="1"/>
  <c r="CY32" i="53"/>
  <c r="N32" i="53" a="1"/>
  <c r="FN31" i="52"/>
  <c r="FO31" i="52" s="1"/>
  <c r="FP31" i="52" s="1"/>
  <c r="V33" i="53"/>
  <c r="G33" i="53" s="1"/>
  <c r="AE33" i="53"/>
  <c r="AM33" i="53"/>
  <c r="AP33" i="53" s="1"/>
  <c r="D33" i="53"/>
  <c r="C34" i="52"/>
  <c r="BP34" i="52" s="1"/>
  <c r="FN34" i="52"/>
  <c r="FO34" i="52" s="1"/>
  <c r="FP34" i="52" s="1"/>
  <c r="FU30" i="52"/>
  <c r="GI36" i="52"/>
  <c r="GJ36" i="52" s="1"/>
  <c r="GK36" i="52" s="1"/>
  <c r="GL36" i="52" s="1"/>
  <c r="GF36" i="52"/>
  <c r="C17" i="52"/>
  <c r="BP17" i="52" s="1"/>
  <c r="GB28" i="52"/>
  <c r="GC28" i="52" s="1"/>
  <c r="GD28" i="52" s="1"/>
  <c r="GE28" i="52" s="1"/>
  <c r="GG28" i="52"/>
  <c r="BO24" i="53"/>
  <c r="AG24" i="53"/>
  <c r="AJ24" i="53" s="1"/>
  <c r="Z24" i="53"/>
  <c r="AC24" i="53" s="1"/>
  <c r="AN24" i="53"/>
  <c r="AQ24" i="53" s="1"/>
  <c r="V24" i="53"/>
  <c r="F24" i="53" s="1"/>
  <c r="AE24" i="53"/>
  <c r="AM24" i="53"/>
  <c r="C31" i="52"/>
  <c r="BP31" i="52" s="1"/>
  <c r="CR15" i="53"/>
  <c r="N27" i="53" a="1"/>
  <c r="CY27" i="53"/>
  <c r="CQ21" i="53"/>
  <c r="FN30" i="52"/>
  <c r="FO30" i="52" s="1"/>
  <c r="FP30" i="52" s="1"/>
  <c r="BU33" i="53"/>
  <c r="AL33" i="53"/>
  <c r="BN33" i="53"/>
  <c r="AZ33" i="53"/>
  <c r="BG33" i="53"/>
  <c r="H33" i="53"/>
  <c r="AU33" i="53"/>
  <c r="AX33" i="53" s="1"/>
  <c r="BW33" i="53"/>
  <c r="BZ33" i="53" s="1"/>
  <c r="BP33" i="53"/>
  <c r="BS33" i="53" s="1"/>
  <c r="AF33" i="53"/>
  <c r="CS15" i="53"/>
  <c r="FQ27" i="52"/>
  <c r="FX27" i="52"/>
  <c r="FZ27" i="52" s="1"/>
  <c r="GA27" i="52" s="1"/>
  <c r="T36" i="53"/>
  <c r="N36" i="53"/>
  <c r="O36" i="53"/>
  <c r="U36" i="53"/>
  <c r="R36" i="53"/>
  <c r="S36" i="53"/>
  <c r="P36" i="53"/>
  <c r="Q36" i="53"/>
  <c r="X16" i="53"/>
  <c r="AS16" i="53"/>
  <c r="BW16" i="53"/>
  <c r="BZ16" i="53" s="1"/>
  <c r="BP16" i="53"/>
  <c r="BS16" i="53" s="1"/>
  <c r="AU16" i="53"/>
  <c r="AX16" i="53" s="1"/>
  <c r="AF16" i="53"/>
  <c r="AS26" i="53"/>
  <c r="AT26" i="53"/>
  <c r="BH26" i="53"/>
  <c r="BA26" i="53"/>
  <c r="GB35" i="52"/>
  <c r="GC35" i="52" s="1"/>
  <c r="GD35" i="52" s="1"/>
  <c r="GE35" i="52" s="1"/>
  <c r="GG35" i="52"/>
  <c r="Y16" i="53"/>
  <c r="BB16" i="53"/>
  <c r="BE16" i="53" s="1"/>
  <c r="BV16" i="53"/>
  <c r="BI16" i="53"/>
  <c r="BL16" i="53" s="1"/>
  <c r="K16" i="53"/>
  <c r="Z26" i="53"/>
  <c r="AC26" i="53" s="1"/>
  <c r="BG26" i="53"/>
  <c r="AZ26" i="53"/>
  <c r="BU26" i="53"/>
  <c r="CI22" i="52" l="1"/>
  <c r="CO22" i="52"/>
  <c r="CR22" i="52"/>
  <c r="CP22" i="52"/>
  <c r="CM22" i="52"/>
  <c r="CK22" i="52"/>
  <c r="CN22" i="52"/>
  <c r="CL22" i="52"/>
  <c r="CS22" i="52"/>
  <c r="CQ22" i="52"/>
  <c r="CJ22" i="52"/>
  <c r="CU21" i="52"/>
  <c r="CV21" i="52"/>
  <c r="Y26" i="53"/>
  <c r="N23" i="53" a="1"/>
  <c r="CF23" i="52"/>
  <c r="S25" i="53"/>
  <c r="U25" i="53"/>
  <c r="R25" i="53"/>
  <c r="N25" i="53"/>
  <c r="P25" i="53"/>
  <c r="O25" i="53"/>
  <c r="T25" i="53"/>
  <c r="Q25" i="53"/>
  <c r="AO21" i="52"/>
  <c r="AF21" i="52"/>
  <c r="AU26" i="53"/>
  <c r="AX26" i="53" s="1"/>
  <c r="CE24" i="52"/>
  <c r="CF24" i="52" s="1"/>
  <c r="Q25" i="52"/>
  <c r="AI21" i="52"/>
  <c r="D21" i="52" s="1"/>
  <c r="AP21" i="52"/>
  <c r="AH21" i="52"/>
  <c r="BB26" i="53"/>
  <c r="BE26" i="53" s="1"/>
  <c r="FN19" i="52"/>
  <c r="FO19" i="52" s="1"/>
  <c r="FP19" i="52" s="1"/>
  <c r="C19" i="52"/>
  <c r="BP19" i="52" s="1"/>
  <c r="BK26" i="53"/>
  <c r="AP24" i="53"/>
  <c r="AM26" i="53"/>
  <c r="GH28" i="52"/>
  <c r="AR20" i="52"/>
  <c r="AD20" i="52"/>
  <c r="AM20" i="52"/>
  <c r="AQ22" i="52"/>
  <c r="N30" i="53" a="1"/>
  <c r="AZ21" i="52"/>
  <c r="AS21" i="52" s="1"/>
  <c r="BY16" i="53"/>
  <c r="BJ19" i="52"/>
  <c r="BN26" i="53"/>
  <c r="AN26" i="53"/>
  <c r="AQ26" i="53" s="1"/>
  <c r="I16" i="53"/>
  <c r="AB16" i="53"/>
  <c r="X26" i="53"/>
  <c r="AA26" i="53" s="1"/>
  <c r="AE26" i="53"/>
  <c r="AB33" i="53"/>
  <c r="BP26" i="53"/>
  <c r="BS26" i="53" s="1"/>
  <c r="G16" i="53"/>
  <c r="CY30" i="53"/>
  <c r="K24" i="53"/>
  <c r="N17" i="53" a="1"/>
  <c r="O17" i="53" s="1"/>
  <c r="J16" i="53"/>
  <c r="L16" i="53" s="1"/>
  <c r="BC33" i="53"/>
  <c r="V26" i="53"/>
  <c r="F16" i="53"/>
  <c r="BK33" i="53"/>
  <c r="AG26" i="53"/>
  <c r="AJ26" i="53" s="1"/>
  <c r="AL26" i="53"/>
  <c r="AO26" i="53" s="1"/>
  <c r="BO26" i="53"/>
  <c r="BR26" i="53" s="1"/>
  <c r="H16" i="53"/>
  <c r="AH24" i="53"/>
  <c r="CY23" i="53"/>
  <c r="BJ24" i="53"/>
  <c r="J24" i="53"/>
  <c r="AO16" i="53"/>
  <c r="I26" i="53"/>
  <c r="AW24" i="53"/>
  <c r="BV26" i="53"/>
  <c r="BW26" i="53"/>
  <c r="BZ26" i="53" s="1"/>
  <c r="BQ16" i="53"/>
  <c r="BJ26" i="53"/>
  <c r="G26" i="53"/>
  <c r="F26" i="53"/>
  <c r="AI16" i="53"/>
  <c r="E33" i="53"/>
  <c r="AO33" i="53"/>
  <c r="BR24" i="53"/>
  <c r="AH33" i="53"/>
  <c r="D26" i="53"/>
  <c r="FX17" i="52"/>
  <c r="FZ17" i="52" s="1"/>
  <c r="GA17" i="52" s="1"/>
  <c r="FQ17" i="52"/>
  <c r="FX29" i="52"/>
  <c r="FZ29" i="52" s="1"/>
  <c r="GA29" i="52" s="1"/>
  <c r="FQ29" i="52"/>
  <c r="FX31" i="52"/>
  <c r="FZ31" i="52" s="1"/>
  <c r="GA31" i="52" s="1"/>
  <c r="FQ31" i="52"/>
  <c r="FX30" i="52"/>
  <c r="FZ30" i="52" s="1"/>
  <c r="GA30" i="52" s="1"/>
  <c r="FQ30" i="52"/>
  <c r="FX18" i="52"/>
  <c r="FZ18" i="52" s="1"/>
  <c r="GA18" i="52" s="1"/>
  <c r="FQ18" i="52"/>
  <c r="FX16" i="52"/>
  <c r="FZ16" i="52" s="1"/>
  <c r="GA16" i="52" s="1"/>
  <c r="FQ16" i="52"/>
  <c r="BI28" i="53"/>
  <c r="BL28" i="53" s="1"/>
  <c r="BB28" i="53"/>
  <c r="BE28" i="53" s="1"/>
  <c r="BV28" i="53"/>
  <c r="Y28" i="53"/>
  <c r="GP36" i="52"/>
  <c r="GM36" i="52"/>
  <c r="GR36" i="52" s="1"/>
  <c r="GT36" i="52" s="1"/>
  <c r="AE19" i="53"/>
  <c r="V19" i="53"/>
  <c r="D19" i="53" s="1"/>
  <c r="AM19" i="53"/>
  <c r="BU19" i="53"/>
  <c r="AL19" i="53"/>
  <c r="BN19" i="53"/>
  <c r="BG19" i="53"/>
  <c r="AZ19" i="53"/>
  <c r="AV16" i="53"/>
  <c r="BA36" i="53"/>
  <c r="BH36" i="53"/>
  <c r="AT36" i="53"/>
  <c r="AZ36" i="53"/>
  <c r="BU36" i="53"/>
  <c r="BN36" i="53"/>
  <c r="BG36" i="53"/>
  <c r="AL36" i="53"/>
  <c r="BJ33" i="53"/>
  <c r="BX33" i="53"/>
  <c r="R27" i="53"/>
  <c r="T27" i="53"/>
  <c r="O27" i="53"/>
  <c r="U27" i="53"/>
  <c r="P27" i="53"/>
  <c r="S27" i="53"/>
  <c r="N27" i="53"/>
  <c r="Q27" i="53"/>
  <c r="D24" i="53"/>
  <c r="G24" i="53"/>
  <c r="AH26" i="53"/>
  <c r="AW16" i="53"/>
  <c r="BX16" i="53"/>
  <c r="AG28" i="53"/>
  <c r="AJ28" i="53" s="1"/>
  <c r="BO28" i="53"/>
  <c r="Z28" i="53"/>
  <c r="AC28" i="53" s="1"/>
  <c r="AN28" i="53"/>
  <c r="AQ28" i="53" s="1"/>
  <c r="BN28" i="53"/>
  <c r="BU28" i="53"/>
  <c r="AL28" i="53"/>
  <c r="AZ28" i="53"/>
  <c r="BG28" i="53"/>
  <c r="P23" i="53"/>
  <c r="S23" i="53"/>
  <c r="N23" i="53"/>
  <c r="T23" i="53"/>
  <c r="Q23" i="53"/>
  <c r="O23" i="53"/>
  <c r="R23" i="53"/>
  <c r="U23" i="53"/>
  <c r="I33" i="53"/>
  <c r="J33" i="53"/>
  <c r="BW35" i="53"/>
  <c r="BZ35" i="53" s="1"/>
  <c r="BP35" i="53"/>
  <c r="BS35" i="53" s="1"/>
  <c r="AU35" i="53"/>
  <c r="AX35" i="53" s="1"/>
  <c r="AF35" i="53"/>
  <c r="Y35" i="53"/>
  <c r="BV35" i="53"/>
  <c r="BB35" i="53"/>
  <c r="BE35" i="53" s="1"/>
  <c r="BI35" i="53"/>
  <c r="BL35" i="53" s="1"/>
  <c r="N15" i="53" a="1"/>
  <c r="CY15" i="53"/>
  <c r="BX24" i="53"/>
  <c r="AO24" i="53"/>
  <c r="I24" i="53"/>
  <c r="AA24" i="53"/>
  <c r="Z22" i="53"/>
  <c r="AC22" i="53" s="1"/>
  <c r="AG22" i="53"/>
  <c r="AJ22" i="53" s="1"/>
  <c r="BO22" i="53"/>
  <c r="AN22" i="53"/>
  <c r="AQ22" i="53" s="1"/>
  <c r="AT22" i="53"/>
  <c r="BH22" i="53"/>
  <c r="BA22" i="53"/>
  <c r="AB26" i="53"/>
  <c r="AI26" i="53"/>
  <c r="BR16" i="53"/>
  <c r="BD33" i="53"/>
  <c r="BD24" i="53"/>
  <c r="Y19" i="53"/>
  <c r="BV19" i="53"/>
  <c r="BI19" i="53"/>
  <c r="BL19" i="53" s="1"/>
  <c r="BB19" i="53"/>
  <c r="BE19" i="53" s="1"/>
  <c r="Z19" i="53"/>
  <c r="AC19" i="53" s="1"/>
  <c r="AN19" i="53"/>
  <c r="AQ19" i="53" s="1"/>
  <c r="BO19" i="53"/>
  <c r="AG19" i="53"/>
  <c r="AJ19" i="53" s="1"/>
  <c r="Z36" i="53"/>
  <c r="AC36" i="53" s="1"/>
  <c r="AN36" i="53"/>
  <c r="AQ36" i="53" s="1"/>
  <c r="AG36" i="53"/>
  <c r="AJ36" i="53" s="1"/>
  <c r="BO36" i="53"/>
  <c r="AA33" i="53"/>
  <c r="AS35" i="53"/>
  <c r="X35" i="53"/>
  <c r="BC26" i="53"/>
  <c r="GI35" i="52"/>
  <c r="GF35" i="52"/>
  <c r="AW26" i="53"/>
  <c r="AA16" i="53"/>
  <c r="BB36" i="53"/>
  <c r="BE36" i="53" s="1"/>
  <c r="Y36" i="53"/>
  <c r="AB36" i="53" s="1"/>
  <c r="BI36" i="53"/>
  <c r="BL36" i="53" s="1"/>
  <c r="BV36" i="53"/>
  <c r="AM36" i="53"/>
  <c r="AE36" i="53"/>
  <c r="V36" i="53"/>
  <c r="F36" i="53" s="1"/>
  <c r="GF28" i="52"/>
  <c r="GI28" i="52"/>
  <c r="GJ28" i="52" s="1"/>
  <c r="GK28" i="52" s="1"/>
  <c r="GL28" i="52" s="1"/>
  <c r="R32" i="53"/>
  <c r="P32" i="53"/>
  <c r="Q32" i="53"/>
  <c r="U32" i="53"/>
  <c r="T32" i="53"/>
  <c r="O32" i="53"/>
  <c r="N32" i="53"/>
  <c r="S32" i="53"/>
  <c r="H24" i="53"/>
  <c r="BD16" i="53"/>
  <c r="AT28" i="53"/>
  <c r="BH28" i="53"/>
  <c r="BA28" i="53"/>
  <c r="BD28" i="53" s="1"/>
  <c r="AE28" i="53"/>
  <c r="AM28" i="53"/>
  <c r="V28" i="53"/>
  <c r="F28" i="53" s="1"/>
  <c r="Q29" i="53"/>
  <c r="R29" i="53"/>
  <c r="S29" i="53"/>
  <c r="U29" i="53"/>
  <c r="N29" i="53"/>
  <c r="T29" i="53"/>
  <c r="O29" i="53"/>
  <c r="P29" i="53"/>
  <c r="BY33" i="53"/>
  <c r="AV33" i="53"/>
  <c r="AM35" i="53"/>
  <c r="V35" i="53"/>
  <c r="D35" i="53" s="1"/>
  <c r="AE35" i="53"/>
  <c r="BH35" i="53"/>
  <c r="BK35" i="53" s="1"/>
  <c r="AT35" i="53"/>
  <c r="BA35" i="53"/>
  <c r="BD35" i="53" s="1"/>
  <c r="E24" i="53"/>
  <c r="R31" i="53"/>
  <c r="Q31" i="53"/>
  <c r="O31" i="53"/>
  <c r="U31" i="53"/>
  <c r="S31" i="53"/>
  <c r="T31" i="53"/>
  <c r="P31" i="53"/>
  <c r="N31" i="53"/>
  <c r="BU22" i="53"/>
  <c r="AL22" i="53"/>
  <c r="AZ22" i="53"/>
  <c r="BG22" i="53"/>
  <c r="BN22" i="53"/>
  <c r="X22" i="53"/>
  <c r="AS22" i="53"/>
  <c r="AH16" i="53"/>
  <c r="AW33" i="53"/>
  <c r="FX33" i="52"/>
  <c r="FZ33" i="52" s="1"/>
  <c r="GA33" i="52" s="1"/>
  <c r="FQ33" i="52"/>
  <c r="BR33" i="53"/>
  <c r="AT19" i="53"/>
  <c r="BA19" i="53"/>
  <c r="BD19" i="53" s="1"/>
  <c r="BH19" i="53"/>
  <c r="BK19" i="53" s="1"/>
  <c r="BW19" i="53"/>
  <c r="BZ19" i="53" s="1"/>
  <c r="AU19" i="53"/>
  <c r="AX19" i="53" s="1"/>
  <c r="AF19" i="53"/>
  <c r="AI19" i="53" s="1"/>
  <c r="BP19" i="53"/>
  <c r="BS19" i="53" s="1"/>
  <c r="N17" i="53"/>
  <c r="Q17" i="53"/>
  <c r="GB27" i="52"/>
  <c r="GC27" i="52" s="1"/>
  <c r="GD27" i="52" s="1"/>
  <c r="GE27" i="52" s="1"/>
  <c r="GG27" i="52"/>
  <c r="R20" i="53"/>
  <c r="S20" i="53"/>
  <c r="Q20" i="53"/>
  <c r="P20" i="53"/>
  <c r="T20" i="53"/>
  <c r="O20" i="53"/>
  <c r="N20" i="53"/>
  <c r="U20" i="53"/>
  <c r="AL35" i="53"/>
  <c r="AZ35" i="53"/>
  <c r="BN35" i="53"/>
  <c r="BU35" i="53"/>
  <c r="E35" i="53"/>
  <c r="BG35" i="53"/>
  <c r="BQ24" i="53"/>
  <c r="FX15" i="52"/>
  <c r="FZ15" i="52" s="1"/>
  <c r="GA15" i="52" s="1"/>
  <c r="FQ15" i="52"/>
  <c r="AM22" i="53"/>
  <c r="V22" i="53"/>
  <c r="J22" i="53" s="1"/>
  <c r="AE22" i="53"/>
  <c r="AV26" i="53"/>
  <c r="GH35" i="52"/>
  <c r="GJ35" i="52" s="1"/>
  <c r="GK35" i="52" s="1"/>
  <c r="GL35" i="52" s="1"/>
  <c r="BW36" i="53"/>
  <c r="BZ36" i="53" s="1"/>
  <c r="BP36" i="53"/>
  <c r="BS36" i="53" s="1"/>
  <c r="AF36" i="53"/>
  <c r="AU36" i="53"/>
  <c r="AX36" i="53" s="1"/>
  <c r="AS36" i="53"/>
  <c r="X36" i="53"/>
  <c r="AI33" i="53"/>
  <c r="BQ33" i="53"/>
  <c r="N21" i="53" a="1"/>
  <c r="CY21" i="53"/>
  <c r="FQ34" i="52"/>
  <c r="FX34" i="52"/>
  <c r="FZ34" i="52" s="1"/>
  <c r="GA34" i="52" s="1"/>
  <c r="AI24" i="53"/>
  <c r="BK16" i="53"/>
  <c r="BC16" i="53"/>
  <c r="BJ16" i="53"/>
  <c r="AF28" i="53"/>
  <c r="AU28" i="53"/>
  <c r="AX28" i="53" s="1"/>
  <c r="BP28" i="53"/>
  <c r="BS28" i="53" s="1"/>
  <c r="H28" i="53"/>
  <c r="BW28" i="53"/>
  <c r="BZ28" i="53" s="1"/>
  <c r="AS28" i="53"/>
  <c r="AV28" i="53" s="1"/>
  <c r="X28" i="53"/>
  <c r="AN35" i="53"/>
  <c r="AQ35" i="53" s="1"/>
  <c r="BO35" i="53"/>
  <c r="AG35" i="53"/>
  <c r="AJ35" i="53" s="1"/>
  <c r="G35" i="53"/>
  <c r="Z35" i="53"/>
  <c r="AC35" i="53" s="1"/>
  <c r="K35" i="53"/>
  <c r="R34" i="53"/>
  <c r="T34" i="53"/>
  <c r="Q34" i="53"/>
  <c r="N34" i="53"/>
  <c r="S34" i="53"/>
  <c r="P34" i="53"/>
  <c r="U34" i="53"/>
  <c r="O34" i="53"/>
  <c r="P18" i="53"/>
  <c r="U18" i="53"/>
  <c r="R18" i="53"/>
  <c r="T18" i="53"/>
  <c r="N18" i="53"/>
  <c r="O18" i="53"/>
  <c r="Q18" i="53"/>
  <c r="S18" i="53"/>
  <c r="BC24" i="53"/>
  <c r="AB24" i="53"/>
  <c r="BY24" i="53"/>
  <c r="AV24" i="53"/>
  <c r="BI22" i="53"/>
  <c r="BL22" i="53" s="1"/>
  <c r="I22" i="53"/>
  <c r="Y22" i="53"/>
  <c r="BV22" i="53"/>
  <c r="BB22" i="53"/>
  <c r="BE22" i="53" s="1"/>
  <c r="BW22" i="53"/>
  <c r="BZ22" i="53" s="1"/>
  <c r="BP22" i="53"/>
  <c r="BS22" i="53" s="1"/>
  <c r="AU22" i="53"/>
  <c r="AX22" i="53" s="1"/>
  <c r="AF22" i="53"/>
  <c r="AP16" i="53"/>
  <c r="K33" i="53"/>
  <c r="F33" i="53"/>
  <c r="L33" i="53" s="1"/>
  <c r="P30" i="53"/>
  <c r="O30" i="53"/>
  <c r="R30" i="53"/>
  <c r="T30" i="53"/>
  <c r="Q30" i="53"/>
  <c r="S30" i="53"/>
  <c r="N30" i="53"/>
  <c r="U30" i="53"/>
  <c r="BK24" i="53"/>
  <c r="AS19" i="53"/>
  <c r="AV19" i="53" s="1"/>
  <c r="X19" i="53"/>
  <c r="GB32" i="52"/>
  <c r="GC32" i="52" s="1"/>
  <c r="GD32" i="52" s="1"/>
  <c r="GE32" i="52" s="1"/>
  <c r="GG32" i="52"/>
  <c r="FX19" i="52" l="1"/>
  <c r="FZ19" i="52" s="1"/>
  <c r="GA19" i="52" s="1"/>
  <c r="FQ19" i="52"/>
  <c r="AS25" i="53"/>
  <c r="X25" i="53"/>
  <c r="BN25" i="53"/>
  <c r="BU25" i="53"/>
  <c r="BG25" i="53"/>
  <c r="AZ25" i="53"/>
  <c r="BC25" i="53" s="1"/>
  <c r="AL25" i="53"/>
  <c r="CE25" i="52"/>
  <c r="CF25" i="52" s="1"/>
  <c r="Q26" i="52"/>
  <c r="CE26" i="52" s="1"/>
  <c r="AT25" i="53"/>
  <c r="BH25" i="53"/>
  <c r="BA25" i="53"/>
  <c r="AP22" i="52"/>
  <c r="AI22" i="52"/>
  <c r="D22" i="52" s="1"/>
  <c r="AH22" i="52"/>
  <c r="AW35" i="53"/>
  <c r="C20" i="52"/>
  <c r="BP20" i="52" s="1"/>
  <c r="FN20" i="52"/>
  <c r="FO20" i="52" s="1"/>
  <c r="FP20" i="52" s="1"/>
  <c r="CT24" i="52"/>
  <c r="CS24" i="52"/>
  <c r="CP24" i="52"/>
  <c r="CK24" i="52"/>
  <c r="CI24" i="52"/>
  <c r="CL24" i="52"/>
  <c r="CQ24" i="52"/>
  <c r="CM24" i="52"/>
  <c r="CN24" i="52"/>
  <c r="CR24" i="52"/>
  <c r="CO24" i="52"/>
  <c r="CJ24" i="52"/>
  <c r="AM25" i="53"/>
  <c r="V25" i="53"/>
  <c r="AE25" i="53"/>
  <c r="AF22" i="52"/>
  <c r="AO22" i="52"/>
  <c r="BW25" i="53"/>
  <c r="BZ25" i="53" s="1"/>
  <c r="BP25" i="53"/>
  <c r="BS25" i="53" s="1"/>
  <c r="AF25" i="53"/>
  <c r="AU25" i="53"/>
  <c r="AX25" i="53" s="1"/>
  <c r="CI23" i="52"/>
  <c r="CM23" i="52"/>
  <c r="CP23" i="52"/>
  <c r="CN23" i="52"/>
  <c r="CJ23" i="52"/>
  <c r="CO23" i="52"/>
  <c r="CL23" i="52"/>
  <c r="CS23" i="52"/>
  <c r="CR23" i="52"/>
  <c r="CQ23" i="52"/>
  <c r="AZ23" i="52" s="1"/>
  <c r="AS23" i="52" s="1"/>
  <c r="CK23" i="52"/>
  <c r="BJ20" i="52"/>
  <c r="BJ21" i="52"/>
  <c r="AP22" i="53"/>
  <c r="BC35" i="53"/>
  <c r="BK28" i="53"/>
  <c r="AP26" i="53"/>
  <c r="BB25" i="53"/>
  <c r="BE25" i="53" s="1"/>
  <c r="Y25" i="53"/>
  <c r="BI25" i="53"/>
  <c r="BL25" i="53" s="1"/>
  <c r="BV25" i="53"/>
  <c r="BY25" i="53" s="1"/>
  <c r="AZ22" i="52"/>
  <c r="AS22" i="52" s="1"/>
  <c r="J28" i="53"/>
  <c r="AP36" i="53"/>
  <c r="BD26" i="53"/>
  <c r="AR21" i="52"/>
  <c r="AM21" i="52"/>
  <c r="AD21" i="52"/>
  <c r="AG25" i="53"/>
  <c r="AJ25" i="53" s="1"/>
  <c r="Z25" i="53"/>
  <c r="AC25" i="53" s="1"/>
  <c r="AN25" i="53"/>
  <c r="AQ25" i="53" s="1"/>
  <c r="BO25" i="53"/>
  <c r="CT23" i="52"/>
  <c r="CV22" i="52"/>
  <c r="CU22" i="52"/>
  <c r="P17" i="53"/>
  <c r="U17" i="53"/>
  <c r="BY26" i="53"/>
  <c r="K28" i="53"/>
  <c r="AW22" i="53"/>
  <c r="I35" i="53"/>
  <c r="AB35" i="53"/>
  <c r="BQ26" i="53"/>
  <c r="BX26" i="53"/>
  <c r="H26" i="53"/>
  <c r="K26" i="53"/>
  <c r="J26" i="53"/>
  <c r="E26" i="53"/>
  <c r="AA28" i="53"/>
  <c r="T17" i="53"/>
  <c r="S17" i="53"/>
  <c r="BC22" i="53"/>
  <c r="F35" i="53"/>
  <c r="GH27" i="52"/>
  <c r="GJ27" i="52" s="1"/>
  <c r="GK27" i="52" s="1"/>
  <c r="GL27" i="52" s="1"/>
  <c r="AI22" i="53"/>
  <c r="R17" i="53"/>
  <c r="K36" i="53"/>
  <c r="J19" i="53"/>
  <c r="H36" i="53"/>
  <c r="F19" i="53"/>
  <c r="AA35" i="53"/>
  <c r="BY19" i="53"/>
  <c r="BQ36" i="53"/>
  <c r="AO19" i="53"/>
  <c r="BY28" i="53"/>
  <c r="J36" i="53"/>
  <c r="BX35" i="53"/>
  <c r="AP35" i="53"/>
  <c r="AP28" i="53"/>
  <c r="G28" i="53"/>
  <c r="BC19" i="53"/>
  <c r="AB22" i="53"/>
  <c r="AI28" i="53"/>
  <c r="D36" i="53"/>
  <c r="BJ28" i="53"/>
  <c r="BQ28" i="53"/>
  <c r="GM35" i="52"/>
  <c r="GR35" i="52" s="1"/>
  <c r="GT35" i="52" s="1"/>
  <c r="BU18" i="53"/>
  <c r="BN18" i="53"/>
  <c r="AL18" i="53"/>
  <c r="AZ18" i="53"/>
  <c r="BG18" i="53"/>
  <c r="AT34" i="53"/>
  <c r="BA34" i="53"/>
  <c r="BH34" i="53"/>
  <c r="AS34" i="53"/>
  <c r="X34" i="53"/>
  <c r="GB15" i="52"/>
  <c r="GC15" i="52" s="1"/>
  <c r="GD15" i="52" s="1"/>
  <c r="GE15" i="52" s="1"/>
  <c r="GG15" i="52"/>
  <c r="K22" i="53"/>
  <c r="G22" i="53"/>
  <c r="BI27" i="53"/>
  <c r="BL27" i="53" s="1"/>
  <c r="BB27" i="53"/>
  <c r="BE27" i="53" s="1"/>
  <c r="BV27" i="53"/>
  <c r="Y27" i="53"/>
  <c r="AS27" i="53"/>
  <c r="X27" i="53"/>
  <c r="GB18" i="52"/>
  <c r="GC18" i="52" s="1"/>
  <c r="GD18" i="52" s="1"/>
  <c r="GE18" i="52" s="1"/>
  <c r="GG18" i="52"/>
  <c r="AA19" i="53"/>
  <c r="AE30" i="53"/>
  <c r="AM30" i="53"/>
  <c r="V30" i="53"/>
  <c r="D30" i="53" s="1"/>
  <c r="BP30" i="53"/>
  <c r="BS30" i="53" s="1"/>
  <c r="AF30" i="53"/>
  <c r="AU30" i="53"/>
  <c r="AX30" i="53" s="1"/>
  <c r="BW30" i="53"/>
  <c r="BZ30" i="53" s="1"/>
  <c r="H22" i="53"/>
  <c r="AE18" i="53"/>
  <c r="AM18" i="53"/>
  <c r="V18" i="53"/>
  <c r="D18" i="53" s="1"/>
  <c r="BH18" i="53"/>
  <c r="BA18" i="53"/>
  <c r="AT18" i="53"/>
  <c r="Y34" i="53"/>
  <c r="BV34" i="53"/>
  <c r="BB34" i="53"/>
  <c r="BE34" i="53" s="1"/>
  <c r="BI34" i="53"/>
  <c r="BL34" i="53" s="1"/>
  <c r="BP34" i="53"/>
  <c r="BS34" i="53" s="1"/>
  <c r="AF34" i="53"/>
  <c r="BW34" i="53"/>
  <c r="BZ34" i="53" s="1"/>
  <c r="AU34" i="53"/>
  <c r="AX34" i="53" s="1"/>
  <c r="AA36" i="53"/>
  <c r="BQ35" i="53"/>
  <c r="AM20" i="53"/>
  <c r="V20" i="53"/>
  <c r="D20" i="53" s="1"/>
  <c r="AE20" i="53"/>
  <c r="BO20" i="53"/>
  <c r="AN20" i="53"/>
  <c r="AQ20" i="53" s="1"/>
  <c r="Z20" i="53"/>
  <c r="AC20" i="53" s="1"/>
  <c r="AG20" i="53"/>
  <c r="AJ20" i="53" s="1"/>
  <c r="GF27" i="52"/>
  <c r="GI27" i="52"/>
  <c r="AS17" i="53"/>
  <c r="BB17" i="53"/>
  <c r="BE17" i="53" s="1"/>
  <c r="GB33" i="52"/>
  <c r="GC33" i="52" s="1"/>
  <c r="GD33" i="52" s="1"/>
  <c r="GE33" i="52" s="1"/>
  <c r="GG33" i="52"/>
  <c r="AA22" i="53"/>
  <c r="AO22" i="53"/>
  <c r="BA31" i="53"/>
  <c r="AT31" i="53"/>
  <c r="BH31" i="53"/>
  <c r="AL31" i="53"/>
  <c r="AZ31" i="53"/>
  <c r="BN31" i="53"/>
  <c r="BU31" i="53"/>
  <c r="BG31" i="53"/>
  <c r="AH35" i="53"/>
  <c r="X29" i="53"/>
  <c r="AS29" i="53"/>
  <c r="AU29" i="53"/>
  <c r="AX29" i="53" s="1"/>
  <c r="BP29" i="53"/>
  <c r="BS29" i="53" s="1"/>
  <c r="BW29" i="53"/>
  <c r="BZ29" i="53" s="1"/>
  <c r="AF29" i="53"/>
  <c r="D28" i="53"/>
  <c r="X32" i="53"/>
  <c r="AS32" i="53"/>
  <c r="AU32" i="53"/>
  <c r="AX32" i="53" s="1"/>
  <c r="AF32" i="53"/>
  <c r="BW32" i="53"/>
  <c r="BZ32" i="53" s="1"/>
  <c r="BP32" i="53"/>
  <c r="BS32" i="53" s="1"/>
  <c r="BY36" i="53"/>
  <c r="J35" i="53"/>
  <c r="G36" i="53"/>
  <c r="G19" i="53"/>
  <c r="I19" i="53"/>
  <c r="AB19" i="53"/>
  <c r="BD22" i="53"/>
  <c r="AI35" i="53"/>
  <c r="BW23" i="53"/>
  <c r="BZ23" i="53" s="1"/>
  <c r="BP23" i="53"/>
  <c r="BS23" i="53" s="1"/>
  <c r="AU23" i="53"/>
  <c r="AX23" i="53" s="1"/>
  <c r="AF23" i="53"/>
  <c r="V23" i="53"/>
  <c r="D23" i="53" s="1"/>
  <c r="AM23" i="53"/>
  <c r="AE23" i="53"/>
  <c r="BC28" i="53"/>
  <c r="E28" i="53"/>
  <c r="BR28" i="53"/>
  <c r="AT27" i="53"/>
  <c r="BH27" i="53"/>
  <c r="BA27" i="53"/>
  <c r="BD27" i="53" s="1"/>
  <c r="BP27" i="53"/>
  <c r="BS27" i="53" s="1"/>
  <c r="BW27" i="53"/>
  <c r="BZ27" i="53" s="1"/>
  <c r="AU27" i="53"/>
  <c r="AX27" i="53" s="1"/>
  <c r="AF27" i="53"/>
  <c r="AO36" i="53"/>
  <c r="BX36" i="53"/>
  <c r="BK36" i="53"/>
  <c r="E19" i="53"/>
  <c r="BX19" i="53"/>
  <c r="AH19" i="53"/>
  <c r="GB31" i="52"/>
  <c r="GC31" i="52" s="1"/>
  <c r="GD31" i="52" s="1"/>
  <c r="GE31" i="52" s="1"/>
  <c r="GG31" i="52"/>
  <c r="GB29" i="52"/>
  <c r="GC29" i="52" s="1"/>
  <c r="GD29" i="52" s="1"/>
  <c r="GE29" i="52" s="1"/>
  <c r="GG29" i="52"/>
  <c r="K30" i="53"/>
  <c r="J30" i="53"/>
  <c r="AS30" i="53"/>
  <c r="X30" i="53"/>
  <c r="K20" i="53"/>
  <c r="BH20" i="53"/>
  <c r="AT20" i="53"/>
  <c r="BA20" i="53"/>
  <c r="F20" i="53"/>
  <c r="GH33" i="52"/>
  <c r="BU32" i="53"/>
  <c r="BN32" i="53"/>
  <c r="BG32" i="53"/>
  <c r="AL32" i="53"/>
  <c r="AZ32" i="53"/>
  <c r="BH32" i="53"/>
  <c r="BA32" i="53"/>
  <c r="AT32" i="53"/>
  <c r="AW32" i="53" s="1"/>
  <c r="GM28" i="52"/>
  <c r="GR28" i="52" s="1"/>
  <c r="GT28" i="52" s="1"/>
  <c r="AW36" i="53"/>
  <c r="GF32" i="52"/>
  <c r="GI32" i="52"/>
  <c r="I30" i="53"/>
  <c r="BI30" i="53"/>
  <c r="BL30" i="53" s="1"/>
  <c r="BV30" i="53"/>
  <c r="BY30" i="53" s="1"/>
  <c r="Y30" i="53"/>
  <c r="BB30" i="53"/>
  <c r="BE30" i="53" s="1"/>
  <c r="BG30" i="53"/>
  <c r="AZ30" i="53"/>
  <c r="BU30" i="53"/>
  <c r="BN30" i="53"/>
  <c r="E30" i="53"/>
  <c r="AL30" i="53"/>
  <c r="BY22" i="53"/>
  <c r="BV18" i="53"/>
  <c r="BB18" i="53"/>
  <c r="BE18" i="53" s="1"/>
  <c r="Y18" i="53"/>
  <c r="BI18" i="53"/>
  <c r="BL18" i="53" s="1"/>
  <c r="X18" i="53"/>
  <c r="AS18" i="53"/>
  <c r="BG34" i="53"/>
  <c r="BJ34" i="53" s="1"/>
  <c r="BU34" i="53"/>
  <c r="BN34" i="53"/>
  <c r="AL34" i="53"/>
  <c r="AZ34" i="53"/>
  <c r="BC34" i="53" s="1"/>
  <c r="AE34" i="53"/>
  <c r="V34" i="53"/>
  <c r="E34" i="53" s="1"/>
  <c r="AM34" i="53"/>
  <c r="BR35" i="53"/>
  <c r="Q21" i="53"/>
  <c r="R21" i="53"/>
  <c r="S21" i="53"/>
  <c r="U21" i="53"/>
  <c r="N21" i="53"/>
  <c r="O21" i="53"/>
  <c r="T21" i="53"/>
  <c r="P21" i="53"/>
  <c r="AI36" i="53"/>
  <c r="D22" i="53"/>
  <c r="BJ35" i="53"/>
  <c r="AL20" i="53"/>
  <c r="BU20" i="53"/>
  <c r="BN20" i="53"/>
  <c r="BG20" i="53"/>
  <c r="E20" i="53"/>
  <c r="AZ20" i="53"/>
  <c r="BB20" i="53"/>
  <c r="BE20" i="53" s="1"/>
  <c r="BI20" i="53"/>
  <c r="BL20" i="53" s="1"/>
  <c r="Y20" i="53"/>
  <c r="AB20" i="53" s="1"/>
  <c r="BV20" i="53"/>
  <c r="I20" i="53"/>
  <c r="BP17" i="53"/>
  <c r="BS17" i="53" s="1"/>
  <c r="BU17" i="53"/>
  <c r="AL17" i="53"/>
  <c r="H19" i="53"/>
  <c r="AW19" i="53"/>
  <c r="BQ22" i="53"/>
  <c r="E22" i="53"/>
  <c r="AS31" i="53"/>
  <c r="X31" i="53"/>
  <c r="BO31" i="53"/>
  <c r="AN31" i="53"/>
  <c r="AQ31" i="53" s="1"/>
  <c r="Z31" i="53"/>
  <c r="AC31" i="53" s="1"/>
  <c r="AG31" i="53"/>
  <c r="AJ31" i="53" s="1"/>
  <c r="AM29" i="53"/>
  <c r="V29" i="53"/>
  <c r="J29" i="53" s="1"/>
  <c r="AE29" i="53"/>
  <c r="D29" i="53"/>
  <c r="AG29" i="53"/>
  <c r="AJ29" i="53" s="1"/>
  <c r="AN29" i="53"/>
  <c r="AQ29" i="53" s="1"/>
  <c r="Z29" i="53"/>
  <c r="AC29" i="53" s="1"/>
  <c r="BO29" i="53"/>
  <c r="BR29" i="53" s="1"/>
  <c r="AH28" i="53"/>
  <c r="AW28" i="53"/>
  <c r="Y32" i="53"/>
  <c r="BV32" i="53"/>
  <c r="BI32" i="53"/>
  <c r="BL32" i="53" s="1"/>
  <c r="BB32" i="53"/>
  <c r="BE32" i="53" s="1"/>
  <c r="AH36" i="53"/>
  <c r="I36" i="53"/>
  <c r="AV35" i="53"/>
  <c r="BR19" i="53"/>
  <c r="F22" i="53"/>
  <c r="BR22" i="53"/>
  <c r="H35" i="53"/>
  <c r="BG23" i="53"/>
  <c r="AL23" i="53"/>
  <c r="BN23" i="53"/>
  <c r="AZ23" i="53"/>
  <c r="BU23" i="53"/>
  <c r="Y23" i="53"/>
  <c r="BV23" i="53"/>
  <c r="BI23" i="53"/>
  <c r="BL23" i="53" s="1"/>
  <c r="BB23" i="53"/>
  <c r="BE23" i="53" s="1"/>
  <c r="AO28" i="53"/>
  <c r="L24" i="53"/>
  <c r="Z27" i="53"/>
  <c r="AC27" i="53" s="1"/>
  <c r="AG27" i="53"/>
  <c r="AJ27" i="53" s="1"/>
  <c r="BO27" i="53"/>
  <c r="BR27" i="53" s="1"/>
  <c r="AN27" i="53"/>
  <c r="AQ27" i="53" s="1"/>
  <c r="BJ36" i="53"/>
  <c r="BC36" i="53"/>
  <c r="BD36" i="53"/>
  <c r="BJ19" i="53"/>
  <c r="AP19" i="53"/>
  <c r="I28" i="53"/>
  <c r="GB16" i="52"/>
  <c r="GC16" i="52" s="1"/>
  <c r="GD16" i="52" s="1"/>
  <c r="GE16" i="52" s="1"/>
  <c r="GG16" i="52"/>
  <c r="GB30" i="52"/>
  <c r="GC30" i="52" s="1"/>
  <c r="GD30" i="52" s="1"/>
  <c r="GE30" i="52" s="1"/>
  <c r="GG30" i="52"/>
  <c r="BH17" i="53"/>
  <c r="AE31" i="53"/>
  <c r="V31" i="53"/>
  <c r="K31" i="53" s="1"/>
  <c r="AM31" i="53"/>
  <c r="BN29" i="53"/>
  <c r="BU29" i="53"/>
  <c r="AL29" i="53"/>
  <c r="AZ29" i="53"/>
  <c r="BG29" i="53"/>
  <c r="E29" i="53"/>
  <c r="BI29" i="53"/>
  <c r="BL29" i="53" s="1"/>
  <c r="Y29" i="53"/>
  <c r="AB29" i="53" s="1"/>
  <c r="BB29" i="53"/>
  <c r="BE29" i="53" s="1"/>
  <c r="BV29" i="53"/>
  <c r="BY29" i="53" s="1"/>
  <c r="I29" i="53"/>
  <c r="AS23" i="53"/>
  <c r="X23" i="53"/>
  <c r="K19" i="53"/>
  <c r="AN30" i="53"/>
  <c r="AQ30" i="53" s="1"/>
  <c r="G30" i="53"/>
  <c r="BO30" i="53"/>
  <c r="AG30" i="53"/>
  <c r="AJ30" i="53" s="1"/>
  <c r="Z30" i="53"/>
  <c r="AC30" i="53" s="1"/>
  <c r="BA30" i="53"/>
  <c r="BH30" i="53"/>
  <c r="F30" i="53"/>
  <c r="AT30" i="53"/>
  <c r="Z18" i="53"/>
  <c r="AC18" i="53" s="1"/>
  <c r="BO18" i="53"/>
  <c r="AG18" i="53"/>
  <c r="AJ18" i="53" s="1"/>
  <c r="AN18" i="53"/>
  <c r="AQ18" i="53" s="1"/>
  <c r="BP18" i="53"/>
  <c r="BS18" i="53" s="1"/>
  <c r="AF18" i="53"/>
  <c r="BW18" i="53"/>
  <c r="BZ18" i="53" s="1"/>
  <c r="AU18" i="53"/>
  <c r="AX18" i="53" s="1"/>
  <c r="BO34" i="53"/>
  <c r="BR34" i="53" s="1"/>
  <c r="AG34" i="53"/>
  <c r="AJ34" i="53" s="1"/>
  <c r="Z34" i="53"/>
  <c r="AC34" i="53" s="1"/>
  <c r="AN34" i="53"/>
  <c r="AQ34" i="53" s="1"/>
  <c r="GG34" i="52"/>
  <c r="GB34" i="52"/>
  <c r="GC34" i="52" s="1"/>
  <c r="GD34" i="52" s="1"/>
  <c r="GE34" i="52" s="1"/>
  <c r="AV36" i="53"/>
  <c r="AH22" i="53"/>
  <c r="AO35" i="53"/>
  <c r="AS20" i="53"/>
  <c r="AV20" i="53" s="1"/>
  <c r="X20" i="53"/>
  <c r="J20" i="53"/>
  <c r="BP20" i="53"/>
  <c r="BS20" i="53" s="1"/>
  <c r="BW20" i="53"/>
  <c r="BZ20" i="53" s="1"/>
  <c r="AU20" i="53"/>
  <c r="AX20" i="53" s="1"/>
  <c r="H20" i="53"/>
  <c r="AF20" i="53"/>
  <c r="Z17" i="53"/>
  <c r="AC17" i="53" s="1"/>
  <c r="AN17" i="53"/>
  <c r="AQ17" i="53" s="1"/>
  <c r="AE17" i="53"/>
  <c r="AM17" i="53"/>
  <c r="AV22" i="53"/>
  <c r="BJ22" i="53"/>
  <c r="BX22" i="53"/>
  <c r="BI31" i="53"/>
  <c r="BL31" i="53" s="1"/>
  <c r="BV31" i="53"/>
  <c r="BB31" i="53"/>
  <c r="BE31" i="53" s="1"/>
  <c r="I31" i="53"/>
  <c r="Y31" i="53"/>
  <c r="BP31" i="53"/>
  <c r="BS31" i="53" s="1"/>
  <c r="AF31" i="53"/>
  <c r="BW31" i="53"/>
  <c r="BZ31" i="53" s="1"/>
  <c r="AU31" i="53"/>
  <c r="AX31" i="53" s="1"/>
  <c r="BA29" i="53"/>
  <c r="AT29" i="53"/>
  <c r="BH29" i="53"/>
  <c r="F29" i="53"/>
  <c r="K29" i="53"/>
  <c r="AM32" i="53"/>
  <c r="AE32" i="53"/>
  <c r="V32" i="53"/>
  <c r="J32" i="53" s="1"/>
  <c r="AN32" i="53"/>
  <c r="AQ32" i="53" s="1"/>
  <c r="G32" i="53"/>
  <c r="BO32" i="53"/>
  <c r="Z32" i="53"/>
  <c r="AC32" i="53" s="1"/>
  <c r="AG32" i="53"/>
  <c r="AJ32" i="53" s="1"/>
  <c r="BR36" i="53"/>
  <c r="BK22" i="53"/>
  <c r="O15" i="53"/>
  <c r="P15" i="53"/>
  <c r="Q15" i="53"/>
  <c r="U15" i="53"/>
  <c r="N15" i="53"/>
  <c r="S15" i="53"/>
  <c r="R15" i="53"/>
  <c r="T15" i="53"/>
  <c r="BY35" i="53"/>
  <c r="Z23" i="53"/>
  <c r="AC23" i="53" s="1"/>
  <c r="AG23" i="53"/>
  <c r="AJ23" i="53" s="1"/>
  <c r="BO23" i="53"/>
  <c r="AN23" i="53"/>
  <c r="AQ23" i="53" s="1"/>
  <c r="BH23" i="53"/>
  <c r="BK23" i="53" s="1"/>
  <c r="BA23" i="53"/>
  <c r="AT23" i="53"/>
  <c r="AW23" i="53" s="1"/>
  <c r="BX28" i="53"/>
  <c r="V27" i="53"/>
  <c r="G27" i="53" s="1"/>
  <c r="AM27" i="53"/>
  <c r="AP27" i="53" s="1"/>
  <c r="AE27" i="53"/>
  <c r="BG27" i="53"/>
  <c r="AZ27" i="53"/>
  <c r="BU27" i="53"/>
  <c r="AL27" i="53"/>
  <c r="BN27" i="53"/>
  <c r="BQ27" i="53" s="1"/>
  <c r="E36" i="53"/>
  <c r="GH32" i="52"/>
  <c r="GJ32" i="52" s="1"/>
  <c r="GK32" i="52" s="1"/>
  <c r="GL32" i="52" s="1"/>
  <c r="BQ19" i="53"/>
  <c r="GN36" i="52"/>
  <c r="AB28" i="53"/>
  <c r="GB17" i="52"/>
  <c r="GC17" i="52" s="1"/>
  <c r="GD17" i="52" s="1"/>
  <c r="GE17" i="52" s="1"/>
  <c r="GG17" i="52"/>
  <c r="AP31" i="53" l="1"/>
  <c r="BJ25" i="53"/>
  <c r="BD25" i="53"/>
  <c r="BX25" i="53"/>
  <c r="AF17" i="53"/>
  <c r="BI17" i="53"/>
  <c r="BL17" i="53" s="1"/>
  <c r="FN21" i="52"/>
  <c r="FO21" i="52" s="1"/>
  <c r="FP21" i="52" s="1"/>
  <c r="C21" i="52"/>
  <c r="BP21" i="52" s="1"/>
  <c r="AB25" i="53"/>
  <c r="AP23" i="52"/>
  <c r="AH23" i="52"/>
  <c r="AI23" i="52"/>
  <c r="D23" i="52" s="1"/>
  <c r="AQ24" i="52"/>
  <c r="BK25" i="53"/>
  <c r="BQ25" i="53"/>
  <c r="AI24" i="52"/>
  <c r="D24" i="52" s="1"/>
  <c r="AP24" i="52"/>
  <c r="AH24" i="52"/>
  <c r="AO23" i="52"/>
  <c r="AF23" i="52"/>
  <c r="AO24" i="52"/>
  <c r="AF24" i="52"/>
  <c r="FQ20" i="52"/>
  <c r="FX20" i="52"/>
  <c r="FZ20" i="52" s="1"/>
  <c r="GA20" i="52" s="1"/>
  <c r="AW25" i="53"/>
  <c r="AA25" i="53"/>
  <c r="AQ23" i="52"/>
  <c r="CV23" i="52"/>
  <c r="CU23" i="52"/>
  <c r="AH25" i="53"/>
  <c r="AZ24" i="52"/>
  <c r="AS24" i="52" s="1"/>
  <c r="CF26" i="52"/>
  <c r="CT26" i="52" s="1"/>
  <c r="AV25" i="53"/>
  <c r="BD29" i="53"/>
  <c r="AO29" i="53"/>
  <c r="BR25" i="53"/>
  <c r="E25" i="53"/>
  <c r="J25" i="53"/>
  <c r="F25" i="53"/>
  <c r="H25" i="53"/>
  <c r="K25" i="53"/>
  <c r="G25" i="53"/>
  <c r="D25" i="53"/>
  <c r="I25" i="53"/>
  <c r="CT25" i="52"/>
  <c r="CN25" i="52"/>
  <c r="CR25" i="52"/>
  <c r="CO25" i="52"/>
  <c r="CL25" i="52"/>
  <c r="CM25" i="52"/>
  <c r="CI25" i="52"/>
  <c r="CJ25" i="52"/>
  <c r="CS25" i="52"/>
  <c r="CK25" i="52"/>
  <c r="CQ25" i="52"/>
  <c r="AZ25" i="52" s="1"/>
  <c r="CP25" i="52"/>
  <c r="E23" i="53"/>
  <c r="K32" i="53"/>
  <c r="G20" i="53"/>
  <c r="L20" i="53" s="1"/>
  <c r="L26" i="53"/>
  <c r="AI25" i="53"/>
  <c r="AP25" i="53"/>
  <c r="CV24" i="52"/>
  <c r="CU24" i="52"/>
  <c r="AD22" i="52"/>
  <c r="AR22" i="52"/>
  <c r="AM22" i="52"/>
  <c r="AO25" i="53"/>
  <c r="GB19" i="52"/>
  <c r="GC19" i="52" s="1"/>
  <c r="GD19" i="52" s="1"/>
  <c r="GE19" i="52" s="1"/>
  <c r="GG19" i="52"/>
  <c r="AB31" i="53"/>
  <c r="AI20" i="53"/>
  <c r="AI18" i="53"/>
  <c r="AW30" i="53"/>
  <c r="AT17" i="53"/>
  <c r="AV17" i="53" s="1"/>
  <c r="AZ17" i="53"/>
  <c r="BG17" i="53"/>
  <c r="BW17" i="53"/>
  <c r="BZ17" i="53" s="1"/>
  <c r="Y17" i="53"/>
  <c r="X17" i="53"/>
  <c r="BY34" i="53"/>
  <c r="GN35" i="52"/>
  <c r="GH18" i="52"/>
  <c r="AG17" i="53"/>
  <c r="AJ17" i="53" s="1"/>
  <c r="GH15" i="52"/>
  <c r="AU17" i="53"/>
  <c r="AX17" i="53" s="1"/>
  <c r="BQ20" i="53"/>
  <c r="L22" i="53"/>
  <c r="GP28" i="52"/>
  <c r="AA29" i="53"/>
  <c r="BV17" i="53"/>
  <c r="H30" i="53"/>
  <c r="BC27" i="53"/>
  <c r="AP32" i="53"/>
  <c r="AW29" i="53"/>
  <c r="V17" i="53"/>
  <c r="E17" i="53" s="1"/>
  <c r="BO17" i="53"/>
  <c r="BR17" i="53" s="1"/>
  <c r="AA20" i="53"/>
  <c r="BA17" i="53"/>
  <c r="BD17" i="53" s="1"/>
  <c r="BY23" i="53"/>
  <c r="L35" i="53"/>
  <c r="BN17" i="53"/>
  <c r="GP35" i="52"/>
  <c r="BJ27" i="53"/>
  <c r="AI31" i="53"/>
  <c r="K34" i="53"/>
  <c r="BX23" i="53"/>
  <c r="AV31" i="53"/>
  <c r="I18" i="53"/>
  <c r="BY18" i="53"/>
  <c r="L19" i="53"/>
  <c r="L28" i="53"/>
  <c r="H29" i="53"/>
  <c r="AW18" i="53"/>
  <c r="L30" i="53"/>
  <c r="BK30" i="53"/>
  <c r="BR30" i="53"/>
  <c r="BQ29" i="53"/>
  <c r="K27" i="53"/>
  <c r="E32" i="53"/>
  <c r="BQ32" i="53"/>
  <c r="K18" i="53"/>
  <c r="BK27" i="53"/>
  <c r="AO18" i="53"/>
  <c r="L36" i="53"/>
  <c r="E27" i="53"/>
  <c r="BK29" i="53"/>
  <c r="H31" i="53"/>
  <c r="BY32" i="53"/>
  <c r="G29" i="53"/>
  <c r="AP29" i="53"/>
  <c r="AW27" i="53"/>
  <c r="BX31" i="53"/>
  <c r="AH30" i="53"/>
  <c r="GM32" i="52"/>
  <c r="GR32" i="52" s="1"/>
  <c r="GT32" i="52" s="1"/>
  <c r="BH15" i="53"/>
  <c r="BA15" i="53"/>
  <c r="AT15" i="53"/>
  <c r="AA23" i="53"/>
  <c r="GF31" i="52"/>
  <c r="GI31" i="52"/>
  <c r="H34" i="53"/>
  <c r="GF17" i="52"/>
  <c r="GI17" i="52"/>
  <c r="GJ17" i="52" s="1"/>
  <c r="GK17" i="52" s="1"/>
  <c r="GL17" i="52" s="1"/>
  <c r="D27" i="53"/>
  <c r="BD23" i="53"/>
  <c r="G23" i="53"/>
  <c r="AE15" i="53"/>
  <c r="AM15" i="53"/>
  <c r="V15" i="53"/>
  <c r="F15" i="53" s="1"/>
  <c r="BN15" i="53"/>
  <c r="AZ15" i="53"/>
  <c r="BG15" i="53"/>
  <c r="AL15" i="53"/>
  <c r="BU15" i="53"/>
  <c r="D32" i="53"/>
  <c r="AP17" i="53"/>
  <c r="GF34" i="52"/>
  <c r="GI34" i="52"/>
  <c r="GJ34" i="52" s="1"/>
  <c r="GK34" i="52" s="1"/>
  <c r="GL34" i="52" s="1"/>
  <c r="G34" i="53"/>
  <c r="BR18" i="53"/>
  <c r="BD30" i="53"/>
  <c r="AV23" i="53"/>
  <c r="BX29" i="53"/>
  <c r="BK17" i="53"/>
  <c r="GH34" i="52"/>
  <c r="GF16" i="52"/>
  <c r="GI16" i="52"/>
  <c r="I23" i="53"/>
  <c r="AO23" i="53"/>
  <c r="AB32" i="53"/>
  <c r="L29" i="53"/>
  <c r="G31" i="53"/>
  <c r="BR31" i="53"/>
  <c r="AI17" i="53"/>
  <c r="BY20" i="53"/>
  <c r="BC20" i="53"/>
  <c r="BX20" i="53"/>
  <c r="AE21" i="53"/>
  <c r="V21" i="53"/>
  <c r="D21" i="53" s="1"/>
  <c r="AM21" i="53"/>
  <c r="AN21" i="53"/>
  <c r="AQ21" i="53" s="1"/>
  <c r="BO21" i="53"/>
  <c r="Z21" i="53"/>
  <c r="AC21" i="53" s="1"/>
  <c r="AG21" i="53"/>
  <c r="AJ21" i="53" s="1"/>
  <c r="AH34" i="53"/>
  <c r="AO34" i="53"/>
  <c r="AV18" i="53"/>
  <c r="BX30" i="53"/>
  <c r="AB30" i="53"/>
  <c r="GN28" i="52"/>
  <c r="BD32" i="53"/>
  <c r="BC32" i="53"/>
  <c r="BX32" i="53"/>
  <c r="AW20" i="53"/>
  <c r="AA30" i="53"/>
  <c r="GH30" i="52"/>
  <c r="AI27" i="53"/>
  <c r="F27" i="53"/>
  <c r="AH23" i="53"/>
  <c r="AI23" i="53"/>
  <c r="AV32" i="53"/>
  <c r="AI29" i="53"/>
  <c r="BQ31" i="53"/>
  <c r="F31" i="53"/>
  <c r="AB17" i="53"/>
  <c r="J17" i="53"/>
  <c r="AB34" i="53"/>
  <c r="BD18" i="53"/>
  <c r="AP18" i="53"/>
  <c r="J27" i="53"/>
  <c r="GF15" i="52"/>
  <c r="GI15" i="52"/>
  <c r="GJ15" i="52" s="1"/>
  <c r="GK15" i="52" s="1"/>
  <c r="GL15" i="52" s="1"/>
  <c r="BK34" i="53"/>
  <c r="E18" i="53"/>
  <c r="BQ18" i="53"/>
  <c r="BV15" i="53"/>
  <c r="BB15" i="53"/>
  <c r="BE15" i="53" s="1"/>
  <c r="Y15" i="53"/>
  <c r="BI15" i="53"/>
  <c r="BL15" i="53" s="1"/>
  <c r="GM27" i="52"/>
  <c r="GR27" i="52" s="1"/>
  <c r="GT27" i="52" s="1"/>
  <c r="AB23" i="53"/>
  <c r="BG21" i="53"/>
  <c r="AZ21" i="53"/>
  <c r="AL21" i="53"/>
  <c r="BU21" i="53"/>
  <c r="E21" i="53"/>
  <c r="BN21" i="53"/>
  <c r="BP21" i="53"/>
  <c r="BS21" i="53" s="1"/>
  <c r="BW21" i="53"/>
  <c r="BZ21" i="53" s="1"/>
  <c r="AF21" i="53"/>
  <c r="AI21" i="53" s="1"/>
  <c r="H21" i="53"/>
  <c r="AU21" i="53"/>
  <c r="AX21" i="53" s="1"/>
  <c r="BQ30" i="53"/>
  <c r="BD20" i="53"/>
  <c r="BK31" i="53"/>
  <c r="GH31" i="52"/>
  <c r="BY27" i="53"/>
  <c r="F34" i="53"/>
  <c r="AO27" i="53"/>
  <c r="G17" i="53"/>
  <c r="G18" i="53"/>
  <c r="J23" i="53"/>
  <c r="BJ29" i="53"/>
  <c r="AH31" i="53"/>
  <c r="GH17" i="52"/>
  <c r="BC23" i="53"/>
  <c r="BJ23" i="53"/>
  <c r="I32" i="53"/>
  <c r="AH29" i="53"/>
  <c r="AA31" i="53"/>
  <c r="AO17" i="53"/>
  <c r="BJ17" i="53"/>
  <c r="AO20" i="53"/>
  <c r="BH21" i="53"/>
  <c r="F21" i="53"/>
  <c r="BA21" i="53"/>
  <c r="AT21" i="53"/>
  <c r="K21" i="53"/>
  <c r="D34" i="53"/>
  <c r="BQ34" i="53"/>
  <c r="AA18" i="53"/>
  <c r="AB18" i="53"/>
  <c r="AO30" i="53"/>
  <c r="BC30" i="53"/>
  <c r="F32" i="53"/>
  <c r="AO32" i="53"/>
  <c r="BK20" i="53"/>
  <c r="AV30" i="53"/>
  <c r="GF29" i="52"/>
  <c r="GI29" i="52"/>
  <c r="GH16" i="52"/>
  <c r="GJ16" i="52" s="1"/>
  <c r="GK16" i="52" s="1"/>
  <c r="GL16" i="52" s="1"/>
  <c r="H27" i="53"/>
  <c r="AP23" i="53"/>
  <c r="H23" i="53"/>
  <c r="H32" i="53"/>
  <c r="AA32" i="53"/>
  <c r="BJ31" i="53"/>
  <c r="BC31" i="53"/>
  <c r="AW31" i="53"/>
  <c r="I17" i="53"/>
  <c r="BR20" i="53"/>
  <c r="AP20" i="53"/>
  <c r="I34" i="53"/>
  <c r="BK18" i="53"/>
  <c r="AH18" i="53"/>
  <c r="GF18" i="52"/>
  <c r="GI18" i="52"/>
  <c r="GJ18" i="52" s="1"/>
  <c r="GK18" i="52" s="1"/>
  <c r="GL18" i="52" s="1"/>
  <c r="I27" i="53"/>
  <c r="AA34" i="53"/>
  <c r="BD34" i="53"/>
  <c r="BJ18" i="53"/>
  <c r="BX18" i="53"/>
  <c r="AV27" i="53"/>
  <c r="J34" i="53"/>
  <c r="BR23" i="53"/>
  <c r="AS15" i="53"/>
  <c r="X15" i="53"/>
  <c r="AA15" i="53" s="1"/>
  <c r="K15" i="53"/>
  <c r="BX27" i="53"/>
  <c r="AH27" i="53"/>
  <c r="F23" i="53"/>
  <c r="AU15" i="53"/>
  <c r="AX15" i="53" s="1"/>
  <c r="H15" i="53"/>
  <c r="BW15" i="53"/>
  <c r="BZ15" i="53" s="1"/>
  <c r="BP15" i="53"/>
  <c r="BS15" i="53" s="1"/>
  <c r="AF15" i="53"/>
  <c r="AN15" i="53"/>
  <c r="AQ15" i="53" s="1"/>
  <c r="AG15" i="53"/>
  <c r="AJ15" i="53" s="1"/>
  <c r="BO15" i="53"/>
  <c r="BR15" i="53" s="1"/>
  <c r="Z15" i="53"/>
  <c r="AC15" i="53" s="1"/>
  <c r="G15" i="53"/>
  <c r="BR32" i="53"/>
  <c r="AH32" i="53"/>
  <c r="BY31" i="53"/>
  <c r="AH17" i="53"/>
  <c r="H18" i="53"/>
  <c r="K23" i="53"/>
  <c r="BC29" i="53"/>
  <c r="D31" i="53"/>
  <c r="K17" i="53"/>
  <c r="F17" i="53"/>
  <c r="GF30" i="52"/>
  <c r="GI30" i="52"/>
  <c r="GJ30" i="52" s="1"/>
  <c r="GK30" i="52" s="1"/>
  <c r="GL30" i="52" s="1"/>
  <c r="BQ23" i="53"/>
  <c r="J31" i="53"/>
  <c r="BJ20" i="53"/>
  <c r="AS21" i="53"/>
  <c r="J21" i="53"/>
  <c r="X21" i="53"/>
  <c r="BI21" i="53"/>
  <c r="BL21" i="53" s="1"/>
  <c r="BV21" i="53"/>
  <c r="BB21" i="53"/>
  <c r="BE21" i="53" s="1"/>
  <c r="Y21" i="53"/>
  <c r="AB21" i="53" s="1"/>
  <c r="I21" i="53"/>
  <c r="AP34" i="53"/>
  <c r="BX34" i="53"/>
  <c r="J18" i="53"/>
  <c r="BJ30" i="53"/>
  <c r="BK32" i="53"/>
  <c r="BJ32" i="53"/>
  <c r="GJ31" i="52"/>
  <c r="GK31" i="52" s="1"/>
  <c r="GL31" i="52" s="1"/>
  <c r="AI32" i="53"/>
  <c r="AV29" i="53"/>
  <c r="E31" i="53"/>
  <c r="AO31" i="53"/>
  <c r="BD31" i="53"/>
  <c r="GF33" i="52"/>
  <c r="GI33" i="52"/>
  <c r="GJ33" i="52" s="1"/>
  <c r="GK33" i="52" s="1"/>
  <c r="GL33" i="52" s="1"/>
  <c r="AA17" i="53"/>
  <c r="AH20" i="53"/>
  <c r="AI34" i="53"/>
  <c r="F18" i="53"/>
  <c r="AI30" i="53"/>
  <c r="AP30" i="53"/>
  <c r="GH29" i="52"/>
  <c r="AA27" i="53"/>
  <c r="AB27" i="53"/>
  <c r="AV34" i="53"/>
  <c r="AW34" i="53"/>
  <c r="BC18" i="53"/>
  <c r="FQ21" i="52" l="1"/>
  <c r="FX21" i="52"/>
  <c r="FZ21" i="52" s="1"/>
  <c r="GA21" i="52" s="1"/>
  <c r="CU25" i="52"/>
  <c r="CV25" i="52"/>
  <c r="L25" i="53"/>
  <c r="AO25" i="52"/>
  <c r="AF25" i="52"/>
  <c r="G21" i="53"/>
  <c r="GH19" i="52"/>
  <c r="GJ29" i="52"/>
  <c r="GK29" i="52" s="1"/>
  <c r="GL29" i="52" s="1"/>
  <c r="AW17" i="53"/>
  <c r="AR23" i="52"/>
  <c r="AM23" i="52"/>
  <c r="AD23" i="52"/>
  <c r="FN22" i="52"/>
  <c r="FO22" i="52" s="1"/>
  <c r="FP22" i="52" s="1"/>
  <c r="C22" i="52"/>
  <c r="BP22" i="52" s="1"/>
  <c r="BQ17" i="53"/>
  <c r="E15" i="53"/>
  <c r="AS25" i="52"/>
  <c r="CS26" i="52"/>
  <c r="CK26" i="52"/>
  <c r="CI26" i="52"/>
  <c r="CR26" i="52"/>
  <c r="CO26" i="52"/>
  <c r="CL26" i="52"/>
  <c r="CQ26" i="52"/>
  <c r="CM26" i="52"/>
  <c r="CP26" i="52"/>
  <c r="CN26" i="52"/>
  <c r="CJ26" i="52"/>
  <c r="AQ26" i="52" s="1"/>
  <c r="GB20" i="52"/>
  <c r="GC20" i="52" s="1"/>
  <c r="GD20" i="52" s="1"/>
  <c r="GE20" i="52" s="1"/>
  <c r="GG20" i="52"/>
  <c r="AM24" i="52"/>
  <c r="AD24" i="52"/>
  <c r="AR24" i="52"/>
  <c r="BJ23" i="52"/>
  <c r="GI19" i="52"/>
  <c r="GJ19" i="52" s="1"/>
  <c r="GK19" i="52" s="1"/>
  <c r="GL19" i="52" s="1"/>
  <c r="GF19" i="52"/>
  <c r="AH25" i="52"/>
  <c r="AP25" i="52"/>
  <c r="AI25" i="52"/>
  <c r="D25" i="52" s="1"/>
  <c r="BJ24" i="52"/>
  <c r="BJ22" i="52"/>
  <c r="J15" i="53"/>
  <c r="I15" i="53"/>
  <c r="BC17" i="53"/>
  <c r="AQ25" i="52"/>
  <c r="BY17" i="53"/>
  <c r="GP27" i="52"/>
  <c r="BX17" i="53"/>
  <c r="H17" i="53"/>
  <c r="D17" i="53"/>
  <c r="L17" i="53" s="1"/>
  <c r="BY15" i="53"/>
  <c r="AA21" i="53"/>
  <c r="L31" i="53"/>
  <c r="AP21" i="53"/>
  <c r="L18" i="53"/>
  <c r="L21" i="53"/>
  <c r="AW15" i="53"/>
  <c r="AI15" i="53"/>
  <c r="BK21" i="53"/>
  <c r="AV21" i="53"/>
  <c r="L23" i="53"/>
  <c r="AW21" i="53"/>
  <c r="GM30" i="52"/>
  <c r="GR30" i="52" s="1"/>
  <c r="GT30" i="52" s="1"/>
  <c r="GM18" i="52"/>
  <c r="GR18" i="52" s="1"/>
  <c r="GT18" i="52" s="1"/>
  <c r="GM15" i="52"/>
  <c r="GR15" i="52" s="1"/>
  <c r="GT15" i="52" s="1"/>
  <c r="GM16" i="52"/>
  <c r="GR16" i="52" s="1"/>
  <c r="GT16" i="52" s="1"/>
  <c r="GM29" i="52"/>
  <c r="GR29" i="52" s="1"/>
  <c r="GT29" i="52" s="1"/>
  <c r="GM33" i="52"/>
  <c r="GR33" i="52" s="1"/>
  <c r="GT33" i="52" s="1"/>
  <c r="GM31" i="52"/>
  <c r="GR31" i="52" s="1"/>
  <c r="GT31" i="52" s="1"/>
  <c r="AV15" i="53"/>
  <c r="AO21" i="53"/>
  <c r="BR21" i="53"/>
  <c r="BQ15" i="53"/>
  <c r="AH15" i="53"/>
  <c r="BD15" i="53"/>
  <c r="GN32" i="52"/>
  <c r="GM34" i="52"/>
  <c r="GR34" i="52" s="1"/>
  <c r="GT34" i="52" s="1"/>
  <c r="GN34" i="52"/>
  <c r="BX21" i="53"/>
  <c r="BX15" i="53"/>
  <c r="BY21" i="53"/>
  <c r="BD21" i="53"/>
  <c r="BQ21" i="53"/>
  <c r="BC21" i="53"/>
  <c r="AB15" i="53"/>
  <c r="AH21" i="53"/>
  <c r="AO15" i="53"/>
  <c r="BK15" i="53"/>
  <c r="GP32" i="52"/>
  <c r="AP15" i="53"/>
  <c r="L27" i="53"/>
  <c r="GN17" i="52"/>
  <c r="GM17" i="52"/>
  <c r="GR17" i="52" s="1"/>
  <c r="GT17" i="52" s="1"/>
  <c r="L34" i="53"/>
  <c r="BJ21" i="53"/>
  <c r="GN27" i="52"/>
  <c r="L32" i="53"/>
  <c r="BJ15" i="53"/>
  <c r="BC15" i="53"/>
  <c r="D15" i="53"/>
  <c r="L15" i="53" s="1"/>
  <c r="CU26" i="52" l="1"/>
  <c r="CV26" i="52"/>
  <c r="FQ22" i="52"/>
  <c r="FX22" i="52"/>
  <c r="FZ22" i="52" s="1"/>
  <c r="GA22" i="52" s="1"/>
  <c r="GM19" i="52"/>
  <c r="GR19" i="52" s="1"/>
  <c r="GT19" i="52" s="1"/>
  <c r="GP19" i="52"/>
  <c r="AP26" i="52"/>
  <c r="AH26" i="52"/>
  <c r="AI26" i="52"/>
  <c r="D26" i="52" s="1"/>
  <c r="FN23" i="52"/>
  <c r="FO23" i="52" s="1"/>
  <c r="FP23" i="52" s="1"/>
  <c r="C23" i="52"/>
  <c r="BP23" i="52" s="1"/>
  <c r="GI20" i="52"/>
  <c r="GJ20" i="52" s="1"/>
  <c r="GK20" i="52" s="1"/>
  <c r="GL20" i="52" s="1"/>
  <c r="GF20" i="52"/>
  <c r="AF26" i="52"/>
  <c r="AS26" i="52"/>
  <c r="AO26" i="52"/>
  <c r="GH20" i="52"/>
  <c r="AZ26" i="52"/>
  <c r="GB21" i="52"/>
  <c r="GC21" i="52" s="1"/>
  <c r="GD21" i="52" s="1"/>
  <c r="GE21" i="52" s="1"/>
  <c r="GG21" i="52"/>
  <c r="AD25" i="52"/>
  <c r="AM25" i="52"/>
  <c r="AR25" i="52"/>
  <c r="FN24" i="52"/>
  <c r="FO24" i="52" s="1"/>
  <c r="FP24" i="52" s="1"/>
  <c r="C24" i="52"/>
  <c r="BP24" i="52" s="1"/>
  <c r="GP34" i="52"/>
  <c r="GP30" i="52"/>
  <c r="GP17" i="52"/>
  <c r="GP15" i="52"/>
  <c r="GP31" i="52"/>
  <c r="GP33" i="52"/>
  <c r="GN16" i="52"/>
  <c r="GN31" i="52"/>
  <c r="GP29" i="52"/>
  <c r="GP16" i="52"/>
  <c r="GP18" i="52"/>
  <c r="GN30" i="52"/>
  <c r="GN33" i="52"/>
  <c r="GN29" i="52"/>
  <c r="GN15" i="52"/>
  <c r="GN18" i="52"/>
  <c r="FN25" i="52" l="1"/>
  <c r="FO25" i="52" s="1"/>
  <c r="FP25" i="52" s="1"/>
  <c r="C25" i="52"/>
  <c r="BP25" i="52" s="1"/>
  <c r="GN19" i="52"/>
  <c r="GM20" i="52"/>
  <c r="GR20" i="52" s="1"/>
  <c r="GT20" i="52" s="1"/>
  <c r="GP20" i="52"/>
  <c r="GF21" i="52"/>
  <c r="GI21" i="52"/>
  <c r="GB22" i="52"/>
  <c r="GC22" i="52" s="1"/>
  <c r="GD22" i="52" s="1"/>
  <c r="GE22" i="52" s="1"/>
  <c r="GG22" i="52"/>
  <c r="FX23" i="52"/>
  <c r="FZ23" i="52" s="1"/>
  <c r="GA23" i="52" s="1"/>
  <c r="FQ23" i="52"/>
  <c r="GH22" i="52"/>
  <c r="BJ25" i="52"/>
  <c r="GH21" i="52"/>
  <c r="GJ21" i="52" s="1"/>
  <c r="GK21" i="52" s="1"/>
  <c r="GL21" i="52" s="1"/>
  <c r="FX24" i="52"/>
  <c r="FZ24" i="52" s="1"/>
  <c r="GA24" i="52" s="1"/>
  <c r="FQ24" i="52"/>
  <c r="AD26" i="52"/>
  <c r="AR26" i="52"/>
  <c r="AM26" i="52"/>
  <c r="FQ25" i="52" l="1"/>
  <c r="FX25" i="52"/>
  <c r="FZ25" i="52" s="1"/>
  <c r="GA25" i="52" s="1"/>
  <c r="GN20" i="52"/>
  <c r="GG23" i="52"/>
  <c r="GB23" i="52"/>
  <c r="GC23" i="52" s="1"/>
  <c r="GD23" i="52" s="1"/>
  <c r="GE23" i="52" s="1"/>
  <c r="BJ26" i="52"/>
  <c r="C26" i="52"/>
  <c r="BP26" i="52" s="1"/>
  <c r="FN26" i="52"/>
  <c r="FO26" i="52" s="1"/>
  <c r="FP26" i="52" s="1"/>
  <c r="GM21" i="52"/>
  <c r="GR21" i="52" s="1"/>
  <c r="GT21" i="52" s="1"/>
  <c r="GP21" i="52"/>
  <c r="GI22" i="52"/>
  <c r="GJ22" i="52" s="1"/>
  <c r="GK22" i="52" s="1"/>
  <c r="GL22" i="52" s="1"/>
  <c r="GF22" i="52"/>
  <c r="GB24" i="52"/>
  <c r="GC24" i="52" s="1"/>
  <c r="GD24" i="52" s="1"/>
  <c r="GE24" i="52" s="1"/>
  <c r="GG24" i="52"/>
  <c r="FQ26" i="52" l="1"/>
  <c r="FX26" i="52"/>
  <c r="FZ26" i="52" s="1"/>
  <c r="GA26" i="52" s="1"/>
  <c r="GM22" i="52"/>
  <c r="GR22" i="52" s="1"/>
  <c r="GT22" i="52" s="1"/>
  <c r="GN22" i="52"/>
  <c r="GH24" i="52"/>
  <c r="GI23" i="52"/>
  <c r="GJ23" i="52" s="1"/>
  <c r="GK23" i="52" s="1"/>
  <c r="GL23" i="52" s="1"/>
  <c r="GF23" i="52"/>
  <c r="GH23" i="52"/>
  <c r="GB25" i="52"/>
  <c r="GC25" i="52" s="1"/>
  <c r="GD25" i="52" s="1"/>
  <c r="GE25" i="52" s="1"/>
  <c r="GG25" i="52"/>
  <c r="GI24" i="52"/>
  <c r="GF24" i="52"/>
  <c r="GN21" i="52"/>
  <c r="GH25" i="52"/>
  <c r="GM23" i="52" l="1"/>
  <c r="GR23" i="52" s="1"/>
  <c r="GT23" i="52" s="1"/>
  <c r="GJ24" i="52"/>
  <c r="GK24" i="52" s="1"/>
  <c r="GL24" i="52" s="1"/>
  <c r="GF25" i="52"/>
  <c r="GI25" i="52"/>
  <c r="GJ25" i="52" s="1"/>
  <c r="GK25" i="52" s="1"/>
  <c r="GL25" i="52" s="1"/>
  <c r="GP22" i="52"/>
  <c r="GG26" i="52"/>
  <c r="GB26" i="52"/>
  <c r="GC26" i="52" s="1"/>
  <c r="GD26" i="52" s="1"/>
  <c r="GE26" i="52" s="1"/>
  <c r="GH26" i="52"/>
  <c r="GM25" i="52" l="1"/>
  <c r="GR25" i="52" s="1"/>
  <c r="GT25" i="52" s="1"/>
  <c r="GP25" i="52"/>
  <c r="GN25" i="52"/>
  <c r="GM24" i="52"/>
  <c r="GR24" i="52" s="1"/>
  <c r="GT24" i="52" s="1"/>
  <c r="GN24" i="52"/>
  <c r="GP24" i="52"/>
  <c r="GN23" i="52"/>
  <c r="GI26" i="52"/>
  <c r="GJ26" i="52" s="1"/>
  <c r="GK26" i="52" s="1"/>
  <c r="GL26" i="52" s="1"/>
  <c r="GF26" i="52"/>
  <c r="GP23" i="52"/>
  <c r="GM26" i="52" l="1"/>
  <c r="GR26" i="52" s="1"/>
  <c r="GT26" i="52" s="1"/>
  <c r="GP26" i="52"/>
  <c r="GN26" i="5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Keith Putirka</author>
  </authors>
  <commentList>
    <comment ref="A6" authorId="0" shapeId="0" xr:uid="{00000000-0006-0000-0100-000001000000}">
      <text>
        <r>
          <rPr>
            <b/>
            <sz val="9"/>
            <color indexed="81"/>
            <rFont val="Arial"/>
            <family val="2"/>
          </rPr>
          <t>Keith Putirka:</t>
        </r>
        <r>
          <rPr>
            <sz val="9"/>
            <color indexed="81"/>
            <rFont val="Arial"/>
            <family val="2"/>
          </rPr>
          <t xml:space="preserve">
Be sure to update the "Tri Plots" by editing the data series, or by using copy and past special.
</t>
        </r>
      </text>
    </comment>
    <comment ref="G6" authorId="0" shapeId="0" xr:uid="{00000000-0006-0000-0100-000002000000}">
      <text>
        <r>
          <rPr>
            <b/>
            <sz val="9"/>
            <color rgb="FF000000"/>
            <rFont val="Arial"/>
            <family val="2"/>
          </rPr>
          <t>Keith Putirka:</t>
        </r>
        <r>
          <rPr>
            <sz val="9"/>
            <color rgb="FF000000"/>
            <rFont val="Arial"/>
            <family val="2"/>
          </rPr>
          <t xml:space="preserve">
</t>
        </r>
        <r>
          <rPr>
            <sz val="11"/>
            <color rgb="FF000000"/>
            <rFont val="Arial"/>
            <family val="2"/>
          </rPr>
          <t>fO2 only affects site occupancies (columsn Fo-GQ), not P-T calculations.</t>
        </r>
      </text>
    </comment>
    <comment ref="AG12" authorId="0" shapeId="0" xr:uid="{00000000-0006-0000-0100-000003000000}">
      <text>
        <r>
          <rPr>
            <b/>
            <sz val="9"/>
            <color rgb="FF000000"/>
            <rFont val="Arial"/>
            <family val="2"/>
          </rPr>
          <t>Keith Putirka:</t>
        </r>
        <r>
          <rPr>
            <sz val="9"/>
            <color rgb="FF000000"/>
            <rFont val="Arial"/>
            <family val="2"/>
          </rPr>
          <t xml:space="preserve">
</t>
        </r>
        <r>
          <rPr>
            <sz val="11"/>
            <color rgb="FF000000"/>
            <rFont val="Arial"/>
            <family val="2"/>
          </rPr>
          <t xml:space="preserve">The predction of SiO2 in liq  model is accurate to about </t>
        </r>
        <r>
          <rPr>
            <sz val="11"/>
            <color rgb="FF000000"/>
            <rFont val="Arial"/>
            <family val="2"/>
          </rPr>
          <t>±</t>
        </r>
        <r>
          <rPr>
            <sz val="11"/>
            <color rgb="FF000000"/>
            <rFont val="Arial"/>
            <family val="2"/>
          </rPr>
          <t xml:space="preserve">4 wt. %. Within this range, column AG should approach column F
</t>
        </r>
        <r>
          <rPr>
            <sz val="11"/>
            <color rgb="FF000000"/>
            <rFont val="Arial"/>
            <family val="2"/>
          </rPr>
          <t xml:space="preserve">
</t>
        </r>
      </text>
    </comment>
    <comment ref="FP13" authorId="0" shapeId="0" xr:uid="{00000000-0006-0000-0100-000004000000}">
      <text>
        <r>
          <rPr>
            <b/>
            <sz val="9"/>
            <color indexed="81"/>
            <rFont val="Arial"/>
            <family val="2"/>
          </rPr>
          <t>Keith Putirka:</t>
        </r>
        <r>
          <rPr>
            <sz val="9"/>
            <color indexed="81"/>
            <rFont val="Arial"/>
            <family val="2"/>
          </rPr>
          <t xml:space="preserve">
</t>
        </r>
        <r>
          <rPr>
            <sz val="10"/>
            <color indexed="81"/>
            <rFont val="Arial"/>
            <family val="2"/>
          </rPr>
          <t>From King et al. (2000): Fe3+/Fe2+ ratios equal in amph and liquid</t>
        </r>
      </text>
    </comment>
  </commentList>
</comments>
</file>

<file path=xl/sharedStrings.xml><?xml version="1.0" encoding="utf-8"?>
<sst xmlns="http://schemas.openxmlformats.org/spreadsheetml/2006/main" count="801" uniqueCount="277">
  <si>
    <t>Liquid - hydrous</t>
  </si>
  <si>
    <t>Ridolfi et al. (2010)</t>
    <phoneticPr fontId="5" type="noConversion"/>
  </si>
  <si>
    <t>Wt: MnO</t>
  </si>
  <si>
    <t>oxy factor</t>
  </si>
  <si>
    <t>Si</t>
  </si>
  <si>
    <t>Ti</t>
  </si>
  <si>
    <t>Mg</t>
  </si>
  <si>
    <t>Ca</t>
  </si>
  <si>
    <t>Na</t>
  </si>
  <si>
    <t>K</t>
  </si>
  <si>
    <t>Cr</t>
  </si>
  <si>
    <t>Fe3+</t>
  </si>
  <si>
    <t>Fe2+</t>
  </si>
  <si>
    <t>Cation</t>
  </si>
  <si>
    <t>Sum</t>
  </si>
  <si>
    <t>cat sum Si to Mg</t>
  </si>
  <si>
    <t>23 Oxygens + H2O = 22 oxygens plus 2(OH) (So, 23 anhydrous cations, +H2O, or 22 cations plus H and 2(OH))</t>
  </si>
  <si>
    <t>Amphibole Mole Proportions - ahydrous</t>
  </si>
  <si>
    <t>Amphibole Cations on Basis of 23 O</t>
  </si>
  <si>
    <t>Amphibole - Total # of O</t>
  </si>
  <si>
    <t>Fm</t>
  </si>
  <si>
    <t>Al(IV)</t>
  </si>
  <si>
    <t>Al(VI)</t>
  </si>
  <si>
    <t>Anhydrous</t>
  </si>
  <si>
    <t>cation sum</t>
  </si>
  <si>
    <t>Enter (in wt. %)</t>
    <phoneticPr fontId="5" type="noConversion"/>
  </si>
  <si>
    <t>Cat sum must be</t>
  </si>
  <si>
    <t>betw. 15 &amp; 16</t>
  </si>
  <si>
    <t>Wt: MgO</t>
  </si>
  <si>
    <t>Al</t>
  </si>
  <si>
    <t>Mn</t>
  </si>
  <si>
    <t>T (C)</t>
  </si>
  <si>
    <t>Amphibole-liquid Thermometers and Barometers</t>
  </si>
  <si>
    <t>Amphibole Number of Cations</t>
  </si>
  <si>
    <t>Amphibole Compositions</t>
  </si>
  <si>
    <t>sum</t>
  </si>
  <si>
    <t>Trad Mole prop</t>
  </si>
  <si>
    <t>Trad Mole fractions</t>
  </si>
  <si>
    <t>Wt: SiO2</t>
  </si>
  <si>
    <t>Wt: TiO2</t>
  </si>
  <si>
    <t>Wt: Cr2O3</t>
  </si>
  <si>
    <t>Na2O</t>
  </si>
  <si>
    <t>K2O</t>
  </si>
  <si>
    <t>Cr2O3</t>
  </si>
  <si>
    <t>P2O5</t>
  </si>
  <si>
    <t>Fe2O3</t>
  </si>
  <si>
    <t>Liquid Composition</t>
  </si>
  <si>
    <t>FeOt</t>
  </si>
  <si>
    <t>C</t>
  </si>
  <si>
    <t>Wt: Al2O3</t>
  </si>
  <si>
    <t>Wt: CaO</t>
  </si>
  <si>
    <t>Wt: Na2O</t>
  </si>
  <si>
    <t>Wt: K2O</t>
  </si>
  <si>
    <t>Wt: P2O5</t>
  </si>
  <si>
    <t>H2O</t>
  </si>
  <si>
    <t>Molecular weights</t>
  </si>
  <si>
    <t>SiO2</t>
  </si>
  <si>
    <t>TiO2</t>
  </si>
  <si>
    <t>Al2O3</t>
  </si>
  <si>
    <t>FeO</t>
  </si>
  <si>
    <t>MnO</t>
  </si>
  <si>
    <t>MgO</t>
  </si>
  <si>
    <t>CaO</t>
  </si>
  <si>
    <t>H2O(Liq) wt. %</t>
  </si>
  <si>
    <t>At Saturation</t>
  </si>
  <si>
    <t>T(C )</t>
  </si>
  <si>
    <t>Tetrahedral cations</t>
  </si>
  <si>
    <t>P(kbar)</t>
  </si>
  <si>
    <t>D(Al)</t>
  </si>
  <si>
    <t>Liquid Only</t>
  </si>
  <si>
    <t>D(Na)</t>
  </si>
  <si>
    <t>Liquid - anhydrous</t>
  </si>
  <si>
    <t>Data Source</t>
  </si>
  <si>
    <t>Eqn. 7b</t>
  </si>
  <si>
    <t>Eqn. 7a</t>
  </si>
  <si>
    <t>Reported</t>
  </si>
  <si>
    <t>P (kbar)</t>
  </si>
  <si>
    <t>Leave these cells blank</t>
  </si>
  <si>
    <t>Anhyd sum</t>
  </si>
  <si>
    <t>Ridolfi and Renzulli (2012)</t>
  </si>
  <si>
    <t>1a</t>
  </si>
  <si>
    <t>1b</t>
  </si>
  <si>
    <t>1c</t>
  </si>
  <si>
    <t>1d</t>
  </si>
  <si>
    <t>1e</t>
  </si>
  <si>
    <t>Eqn. 5</t>
  </si>
  <si>
    <t>Eqn. 6</t>
  </si>
  <si>
    <t>Eqn. 4a</t>
  </si>
  <si>
    <t>Si in Hbl Only</t>
  </si>
  <si>
    <t>Eqn. 4b</t>
  </si>
  <si>
    <t>D(Ti)</t>
  </si>
  <si>
    <t>P indep</t>
  </si>
  <si>
    <t>P dep</t>
  </si>
  <si>
    <t>Eqn. 3</t>
  </si>
  <si>
    <t>Test for Equilibrium</t>
  </si>
  <si>
    <r>
      <t>K</t>
    </r>
    <r>
      <rPr>
        <b/>
        <vertAlign val="subscript"/>
        <sz val="14"/>
        <color rgb="FFFF0000"/>
        <rFont val="Arial"/>
        <family val="2"/>
      </rPr>
      <t>D</t>
    </r>
    <r>
      <rPr>
        <b/>
        <sz val="14"/>
        <color rgb="FFFF0000"/>
        <rFont val="Arial"/>
        <family val="2"/>
      </rPr>
      <t>(Fe-Mg)</t>
    </r>
  </si>
  <si>
    <r>
      <t>Eqn. 2: K</t>
    </r>
    <r>
      <rPr>
        <b/>
        <vertAlign val="subscript"/>
        <sz val="12"/>
        <color rgb="FFFF0000"/>
        <rFont val="Arial"/>
        <family val="2"/>
      </rPr>
      <t>D</t>
    </r>
    <r>
      <rPr>
        <b/>
        <sz val="12"/>
        <color rgb="FFFF0000"/>
        <rFont val="Arial"/>
        <family val="2"/>
      </rPr>
      <t xml:space="preserve"> = 0.28±0.11</t>
    </r>
  </si>
  <si>
    <t>Fe#</t>
  </si>
  <si>
    <t>Hbl</t>
  </si>
  <si>
    <t>Al-in-hornblende barometers</t>
  </si>
  <si>
    <t>Hammerstrom &amp;</t>
  </si>
  <si>
    <t>Zen (1986) 1</t>
  </si>
  <si>
    <t>Zen (1986) 2</t>
  </si>
  <si>
    <t>Zen (1986) 3</t>
  </si>
  <si>
    <t>Hollister et al</t>
  </si>
  <si>
    <t>Johnson and</t>
  </si>
  <si>
    <t xml:space="preserve">Anderson and </t>
  </si>
  <si>
    <t>Smith (1995)</t>
  </si>
  <si>
    <t>Schmidt</t>
  </si>
  <si>
    <t>Blundy et al.</t>
  </si>
  <si>
    <t>Passes Anderson</t>
  </si>
  <si>
    <t>&amp; Smith Test?</t>
  </si>
  <si>
    <t>Fe#&lt;0.65 AND T&lt;800?</t>
  </si>
  <si>
    <t>INPUT IS IN GRAY CELLS</t>
  </si>
  <si>
    <t>OUTPUT IS IN BLUE CELLS</t>
  </si>
  <si>
    <t>Cation Fractions</t>
  </si>
  <si>
    <t>hyd sum</t>
  </si>
  <si>
    <t>anhyd</t>
  </si>
  <si>
    <t>Rutherford, 1989</t>
  </si>
  <si>
    <t>T(C)</t>
  </si>
  <si>
    <t>D(Mg)</t>
  </si>
  <si>
    <t>Liq only</t>
  </si>
  <si>
    <t>Ca# (liq)</t>
  </si>
  <si>
    <t>Molina et al. (2015)</t>
  </si>
  <si>
    <t>Al-in-hbl</t>
  </si>
  <si>
    <t>(test of models using expt'l data)</t>
  </si>
  <si>
    <t>Fe</t>
  </si>
  <si>
    <t>excess</t>
  </si>
  <si>
    <t>B</t>
  </si>
  <si>
    <t>sum C</t>
  </si>
  <si>
    <t>sum B</t>
  </si>
  <si>
    <t>sum T</t>
  </si>
  <si>
    <t>total ex</t>
  </si>
  <si>
    <t xml:space="preserve">X = </t>
  </si>
  <si>
    <t>From Fegley (2012)</t>
  </si>
  <si>
    <t>QFM ± X</t>
  </si>
  <si>
    <t>log[fO2]</t>
  </si>
  <si>
    <t>Fe2O3/FeO</t>
  </si>
  <si>
    <t>liquid &amp; Amph</t>
  </si>
  <si>
    <t>Amph</t>
  </si>
  <si>
    <t>Leake et al.</t>
  </si>
  <si>
    <t>Group</t>
  </si>
  <si>
    <t>Eqn. 8</t>
  </si>
  <si>
    <t>Global Sat</t>
  </si>
  <si>
    <t>Predict SiO2</t>
  </si>
  <si>
    <t>In Amph Equilib Liq</t>
  </si>
  <si>
    <t>A</t>
  </si>
  <si>
    <t>sum A</t>
  </si>
  <si>
    <t>Helz (1979)</t>
  </si>
  <si>
    <t>ln(KD(Na-K))</t>
  </si>
  <si>
    <t>Coeff</t>
  </si>
  <si>
    <t>Na(M4) Helz</t>
  </si>
  <si>
    <t>Na (A site) Helz</t>
  </si>
  <si>
    <t>Eqn. 10 SiO2 (wt. %)</t>
  </si>
  <si>
    <t>Eqn. 9</t>
  </si>
  <si>
    <t>Global, Na-K exchg</t>
  </si>
  <si>
    <t>mole frac sum</t>
  </si>
  <si>
    <t>Eqn. 7c (anhyd 7a)</t>
  </si>
  <si>
    <t>Choose Log units(x)  above or below</t>
  </si>
  <si>
    <t>P-T-X in Columns AD to BP; cations on 23 O in ES-FC;</t>
  </si>
  <si>
    <t>11211A</t>
  </si>
  <si>
    <t>Merapi (2010)</t>
  </si>
  <si>
    <t>11211B</t>
  </si>
  <si>
    <t>11212A</t>
  </si>
  <si>
    <t>11212B</t>
  </si>
  <si>
    <t>AUGUSTINE</t>
  </si>
  <si>
    <t>TAPPEN ET AL. 2009</t>
  </si>
  <si>
    <t>x</t>
  </si>
  <si>
    <t>y</t>
  </si>
  <si>
    <t xml:space="preserve">SiO2  </t>
  </si>
  <si>
    <t xml:space="preserve">TiO2  </t>
  </si>
  <si>
    <t>AlO3/2</t>
  </si>
  <si>
    <t xml:space="preserve">CaO   </t>
  </si>
  <si>
    <t>NaO1/2</t>
  </si>
  <si>
    <t>KO0.5</t>
  </si>
  <si>
    <t>Exchange Components</t>
  </si>
  <si>
    <t>bottom left</t>
  </si>
  <si>
    <t>bottom right</t>
  </si>
  <si>
    <t xml:space="preserve">top </t>
  </si>
  <si>
    <t>FmO</t>
  </si>
  <si>
    <t>NaO0.5</t>
  </si>
  <si>
    <r>
      <t>Mg7Si</t>
    </r>
    <r>
      <rPr>
        <vertAlign val="subscript"/>
        <sz val="14"/>
        <color indexed="10"/>
        <rFont val="Arial"/>
        <family val="2"/>
      </rPr>
      <t>8</t>
    </r>
    <r>
      <rPr>
        <sz val="14"/>
        <color indexed="10"/>
        <rFont val="Arial"/>
        <family val="2"/>
      </rPr>
      <t>O</t>
    </r>
    <r>
      <rPr>
        <vertAlign val="subscript"/>
        <sz val="14"/>
        <color indexed="10"/>
        <rFont val="Arial"/>
        <family val="2"/>
      </rPr>
      <t>22</t>
    </r>
    <r>
      <rPr>
        <sz val="14"/>
        <color indexed="10"/>
        <rFont val="Arial"/>
        <family val="2"/>
      </rPr>
      <t>(OH)</t>
    </r>
    <r>
      <rPr>
        <vertAlign val="subscript"/>
        <sz val="14"/>
        <color indexed="10"/>
        <rFont val="Arial"/>
        <family val="2"/>
      </rPr>
      <t>2</t>
    </r>
  </si>
  <si>
    <r>
      <t>Ca</t>
    </r>
    <r>
      <rPr>
        <vertAlign val="subscript"/>
        <sz val="14"/>
        <color indexed="10"/>
        <rFont val="Arial"/>
        <family val="2"/>
      </rPr>
      <t>2</t>
    </r>
    <r>
      <rPr>
        <sz val="14"/>
        <color indexed="10"/>
        <rFont val="Arial"/>
        <family val="2"/>
      </rPr>
      <t>(Mg</t>
    </r>
    <r>
      <rPr>
        <vertAlign val="subscript"/>
        <sz val="14"/>
        <color indexed="10"/>
        <rFont val="Arial"/>
        <family val="2"/>
      </rPr>
      <t>5</t>
    </r>
    <r>
      <rPr>
        <sz val="14"/>
        <color indexed="10"/>
        <rFont val="Arial"/>
        <family val="2"/>
      </rPr>
      <t>)Si</t>
    </r>
    <r>
      <rPr>
        <vertAlign val="subscript"/>
        <sz val="14"/>
        <color indexed="10"/>
        <rFont val="Arial"/>
        <family val="2"/>
      </rPr>
      <t>8</t>
    </r>
    <r>
      <rPr>
        <sz val="14"/>
        <color indexed="10"/>
        <rFont val="Arial"/>
        <family val="2"/>
      </rPr>
      <t>O</t>
    </r>
    <r>
      <rPr>
        <vertAlign val="subscript"/>
        <sz val="14"/>
        <color indexed="10"/>
        <rFont val="Arial"/>
        <family val="2"/>
      </rPr>
      <t>22</t>
    </r>
    <r>
      <rPr>
        <sz val="14"/>
        <color indexed="10"/>
        <rFont val="Arial"/>
        <family val="2"/>
      </rPr>
      <t>(OH)</t>
    </r>
    <r>
      <rPr>
        <vertAlign val="subscript"/>
        <sz val="14"/>
        <color indexed="10"/>
        <rFont val="Arial"/>
        <family val="2"/>
      </rPr>
      <t>2</t>
    </r>
  </si>
  <si>
    <r>
      <t>NaTiAl</t>
    </r>
    <r>
      <rPr>
        <vertAlign val="subscript"/>
        <sz val="14"/>
        <color indexed="10"/>
        <rFont val="Arial"/>
        <family val="2"/>
      </rPr>
      <t>2</t>
    </r>
    <r>
      <rPr>
        <sz val="14"/>
        <color indexed="10"/>
        <rFont val="Arial"/>
        <family val="2"/>
      </rPr>
      <t>Mg</t>
    </r>
    <r>
      <rPr>
        <vertAlign val="subscript"/>
        <sz val="14"/>
        <color indexed="10"/>
        <rFont val="Arial"/>
        <family val="2"/>
      </rPr>
      <t>-1</t>
    </r>
    <r>
      <rPr>
        <sz val="14"/>
        <color indexed="10"/>
        <rFont val="Arial"/>
        <family val="2"/>
      </rPr>
      <t>Si</t>
    </r>
    <r>
      <rPr>
        <vertAlign val="subscript"/>
        <sz val="14"/>
        <color indexed="10"/>
        <rFont val="Arial"/>
        <family val="2"/>
      </rPr>
      <t>-2</t>
    </r>
    <r>
      <rPr>
        <sz val="14"/>
        <color indexed="10"/>
        <rFont val="Arial"/>
        <family val="2"/>
      </rPr>
      <t>H</t>
    </r>
    <r>
      <rPr>
        <vertAlign val="subscript"/>
        <sz val="14"/>
        <color indexed="10"/>
        <rFont val="Arial"/>
        <family val="2"/>
      </rPr>
      <t>-1</t>
    </r>
  </si>
  <si>
    <r>
      <t>Na</t>
    </r>
    <r>
      <rPr>
        <vertAlign val="subscript"/>
        <sz val="14"/>
        <color indexed="10"/>
        <rFont val="Arial"/>
        <family val="2"/>
      </rPr>
      <t>-1</t>
    </r>
    <r>
      <rPr>
        <sz val="14"/>
        <color indexed="10"/>
        <rFont val="Arial"/>
        <family val="2"/>
      </rPr>
      <t>K</t>
    </r>
  </si>
  <si>
    <r>
      <t>Al</t>
    </r>
    <r>
      <rPr>
        <vertAlign val="subscript"/>
        <sz val="14"/>
        <color indexed="10"/>
        <rFont val="Arial"/>
        <family val="2"/>
      </rPr>
      <t>4</t>
    </r>
    <r>
      <rPr>
        <sz val="14"/>
        <color indexed="10"/>
        <rFont val="Arial"/>
        <family val="2"/>
      </rPr>
      <t>Si</t>
    </r>
    <r>
      <rPr>
        <vertAlign val="subscript"/>
        <sz val="14"/>
        <color indexed="10"/>
        <rFont val="Arial"/>
        <family val="2"/>
      </rPr>
      <t>-2</t>
    </r>
    <r>
      <rPr>
        <sz val="14"/>
        <color indexed="10"/>
        <rFont val="Arial"/>
        <family val="2"/>
      </rPr>
      <t>Mg</t>
    </r>
    <r>
      <rPr>
        <vertAlign val="subscript"/>
        <sz val="14"/>
        <color indexed="10"/>
        <rFont val="Arial"/>
        <family val="2"/>
      </rPr>
      <t>-2</t>
    </r>
  </si>
  <si>
    <r>
      <t>NaAlSi</t>
    </r>
    <r>
      <rPr>
        <vertAlign val="subscript"/>
        <sz val="14"/>
        <color indexed="10"/>
        <rFont val="Arial"/>
        <family val="2"/>
      </rPr>
      <t>-1</t>
    </r>
  </si>
  <si>
    <r>
      <t>Mg</t>
    </r>
    <r>
      <rPr>
        <vertAlign val="subscript"/>
        <sz val="14"/>
        <color indexed="10"/>
        <rFont val="Arial"/>
        <family val="2"/>
      </rPr>
      <t>-1</t>
    </r>
    <r>
      <rPr>
        <sz val="14"/>
        <color indexed="10"/>
        <rFont val="Arial"/>
        <family val="2"/>
      </rPr>
      <t>Fe</t>
    </r>
  </si>
  <si>
    <r>
      <t>Si</t>
    </r>
    <r>
      <rPr>
        <vertAlign val="subscript"/>
        <sz val="14"/>
        <color indexed="10"/>
        <rFont val="Arial"/>
        <family val="2"/>
      </rPr>
      <t>11.5</t>
    </r>
    <r>
      <rPr>
        <sz val="14"/>
        <color indexed="10"/>
        <rFont val="Arial"/>
        <family val="2"/>
      </rPr>
      <t>O</t>
    </r>
    <r>
      <rPr>
        <vertAlign val="subscript"/>
        <sz val="14"/>
        <color indexed="10"/>
        <rFont val="Arial"/>
        <family val="2"/>
      </rPr>
      <t>22</t>
    </r>
    <r>
      <rPr>
        <sz val="14"/>
        <color indexed="10"/>
        <rFont val="Arial"/>
        <family val="2"/>
      </rPr>
      <t>(OH)</t>
    </r>
    <r>
      <rPr>
        <vertAlign val="subscript"/>
        <sz val="14"/>
        <color indexed="10"/>
        <rFont val="Arial"/>
        <family val="2"/>
      </rPr>
      <t>2</t>
    </r>
  </si>
  <si>
    <t>Cummingtonite+Grunerite</t>
  </si>
  <si>
    <t>Mg7Si8O22(OH)2</t>
  </si>
  <si>
    <t>Tremolite</t>
  </si>
  <si>
    <t>Edenite</t>
  </si>
  <si>
    <t>Kaersutite</t>
  </si>
  <si>
    <t>NaCa2(Fm4Ti)Si6Al2O23(OH)2</t>
  </si>
  <si>
    <t>KCa2Fm5Si7AlO22(OH)2</t>
  </si>
  <si>
    <t>AluminoTschermakite</t>
  </si>
  <si>
    <t>Ca2(Fm3Al2)Si6Al2O22(OH)2</t>
  </si>
  <si>
    <t>Sodicgedrite</t>
  </si>
  <si>
    <t>NaFm6AlSi6Al2O22(OH)2</t>
  </si>
  <si>
    <t>Parg</t>
  </si>
  <si>
    <t>Richt</t>
  </si>
  <si>
    <t>Na(CaNa)Fm5Si8O22(OH)2</t>
  </si>
  <si>
    <t>Alumino Winchite</t>
  </si>
  <si>
    <t>(CaNa)FM4(Al2)Si8O22(OH)2</t>
  </si>
  <si>
    <t>Ca2Fm5Si8O22(OH)2</t>
  </si>
  <si>
    <t>NaCa2(Fm4Al)Si6Al2O22(OH)2</t>
  </si>
  <si>
    <t>Gedrite</t>
  </si>
  <si>
    <t>Mg5Al2Si6Al2O22(OH)2</t>
  </si>
  <si>
    <t>K-gedrite</t>
  </si>
  <si>
    <t>Sadanagite</t>
  </si>
  <si>
    <t>NaCa2Fm4Si5Al4O22(OH)2</t>
  </si>
  <si>
    <t>Amphibole Components: projection scheme</t>
  </si>
  <si>
    <r>
      <t>Mg</t>
    </r>
    <r>
      <rPr>
        <b/>
        <vertAlign val="subscript"/>
        <sz val="12"/>
        <rFont val="Arial"/>
        <family val="2"/>
      </rPr>
      <t>7</t>
    </r>
    <r>
      <rPr>
        <b/>
        <sz val="12"/>
        <rFont val="Arial"/>
        <family val="2"/>
      </rPr>
      <t>Si</t>
    </r>
    <r>
      <rPr>
        <b/>
        <vertAlign val="subscript"/>
        <sz val="12"/>
        <rFont val="Arial"/>
        <family val="2"/>
      </rPr>
      <t>8</t>
    </r>
    <r>
      <rPr>
        <b/>
        <sz val="12"/>
        <rFont val="Arial"/>
        <family val="2"/>
      </rPr>
      <t>O</t>
    </r>
    <r>
      <rPr>
        <b/>
        <vertAlign val="subscript"/>
        <sz val="12"/>
        <rFont val="Arial"/>
        <family val="2"/>
      </rPr>
      <t>22</t>
    </r>
    <r>
      <rPr>
        <b/>
        <sz val="12"/>
        <rFont val="Arial"/>
        <family val="2"/>
      </rPr>
      <t>(OH)</t>
    </r>
    <r>
      <rPr>
        <b/>
        <vertAlign val="subscript"/>
        <sz val="12"/>
        <rFont val="Arial"/>
        <family val="2"/>
      </rPr>
      <t>2</t>
    </r>
  </si>
  <si>
    <r>
      <t>Ca</t>
    </r>
    <r>
      <rPr>
        <b/>
        <vertAlign val="subscript"/>
        <sz val="12"/>
        <rFont val="Arial"/>
        <family val="2"/>
      </rPr>
      <t>2</t>
    </r>
    <r>
      <rPr>
        <b/>
        <sz val="12"/>
        <rFont val="Arial"/>
        <family val="2"/>
      </rPr>
      <t>(Mg</t>
    </r>
    <r>
      <rPr>
        <b/>
        <vertAlign val="subscript"/>
        <sz val="12"/>
        <rFont val="Arial"/>
        <family val="2"/>
      </rPr>
      <t>5</t>
    </r>
    <r>
      <rPr>
        <b/>
        <sz val="12"/>
        <rFont val="Arial"/>
        <family val="2"/>
      </rPr>
      <t>)Si</t>
    </r>
    <r>
      <rPr>
        <b/>
        <vertAlign val="subscript"/>
        <sz val="12"/>
        <rFont val="Arial"/>
        <family val="2"/>
      </rPr>
      <t>8</t>
    </r>
    <r>
      <rPr>
        <b/>
        <sz val="12"/>
        <rFont val="Arial"/>
        <family val="2"/>
      </rPr>
      <t>O</t>
    </r>
    <r>
      <rPr>
        <b/>
        <vertAlign val="subscript"/>
        <sz val="12"/>
        <rFont val="Arial"/>
        <family val="2"/>
      </rPr>
      <t>22</t>
    </r>
    <r>
      <rPr>
        <b/>
        <sz val="12"/>
        <rFont val="Arial"/>
        <family val="2"/>
      </rPr>
      <t>(OH)</t>
    </r>
    <r>
      <rPr>
        <b/>
        <vertAlign val="subscript"/>
        <sz val="12"/>
        <rFont val="Arial"/>
        <family val="2"/>
      </rPr>
      <t>2</t>
    </r>
  </si>
  <si>
    <r>
      <t>NaTiAl</t>
    </r>
    <r>
      <rPr>
        <b/>
        <vertAlign val="subscript"/>
        <sz val="12"/>
        <rFont val="Arial"/>
        <family val="2"/>
      </rPr>
      <t>2</t>
    </r>
    <r>
      <rPr>
        <b/>
        <sz val="12"/>
        <rFont val="Arial"/>
        <family val="2"/>
      </rPr>
      <t>Mg</t>
    </r>
    <r>
      <rPr>
        <b/>
        <vertAlign val="subscript"/>
        <sz val="12"/>
        <rFont val="Arial"/>
        <family val="2"/>
      </rPr>
      <t>-1</t>
    </r>
    <r>
      <rPr>
        <b/>
        <sz val="12"/>
        <rFont val="Arial"/>
        <family val="2"/>
      </rPr>
      <t>Si</t>
    </r>
    <r>
      <rPr>
        <b/>
        <vertAlign val="subscript"/>
        <sz val="12"/>
        <rFont val="Arial"/>
        <family val="2"/>
      </rPr>
      <t>-2</t>
    </r>
    <r>
      <rPr>
        <b/>
        <sz val="12"/>
        <rFont val="Arial"/>
        <family val="2"/>
      </rPr>
      <t>H</t>
    </r>
    <r>
      <rPr>
        <b/>
        <vertAlign val="subscript"/>
        <sz val="12"/>
        <rFont val="Arial"/>
        <family val="2"/>
      </rPr>
      <t>-1</t>
    </r>
  </si>
  <si>
    <r>
      <t>Na</t>
    </r>
    <r>
      <rPr>
        <b/>
        <vertAlign val="subscript"/>
        <sz val="12"/>
        <rFont val="Arial"/>
        <family val="2"/>
      </rPr>
      <t>-1</t>
    </r>
    <r>
      <rPr>
        <b/>
        <sz val="12"/>
        <rFont val="Arial"/>
        <family val="2"/>
      </rPr>
      <t>K</t>
    </r>
  </si>
  <si>
    <r>
      <t>Al</t>
    </r>
    <r>
      <rPr>
        <b/>
        <vertAlign val="subscript"/>
        <sz val="12"/>
        <rFont val="Arial"/>
        <family val="2"/>
      </rPr>
      <t>4</t>
    </r>
    <r>
      <rPr>
        <b/>
        <sz val="12"/>
        <rFont val="Arial"/>
        <family val="2"/>
      </rPr>
      <t>Si</t>
    </r>
    <r>
      <rPr>
        <b/>
        <vertAlign val="subscript"/>
        <sz val="12"/>
        <rFont val="Arial"/>
        <family val="2"/>
      </rPr>
      <t>-2</t>
    </r>
    <r>
      <rPr>
        <b/>
        <sz val="12"/>
        <rFont val="Arial"/>
        <family val="2"/>
      </rPr>
      <t>Mg</t>
    </r>
    <r>
      <rPr>
        <b/>
        <vertAlign val="subscript"/>
        <sz val="12"/>
        <rFont val="Arial"/>
        <family val="2"/>
      </rPr>
      <t>-2</t>
    </r>
  </si>
  <si>
    <r>
      <t>NaAlSi</t>
    </r>
    <r>
      <rPr>
        <b/>
        <vertAlign val="subscript"/>
        <sz val="12"/>
        <rFont val="Arial"/>
        <family val="2"/>
      </rPr>
      <t>-1</t>
    </r>
  </si>
  <si>
    <r>
      <t>Mg</t>
    </r>
    <r>
      <rPr>
        <b/>
        <vertAlign val="subscript"/>
        <sz val="12"/>
        <rFont val="Arial"/>
        <family val="2"/>
      </rPr>
      <t>-1</t>
    </r>
    <r>
      <rPr>
        <b/>
        <sz val="12"/>
        <rFont val="Arial"/>
        <family val="2"/>
      </rPr>
      <t>Fe</t>
    </r>
  </si>
  <si>
    <r>
      <t>Si</t>
    </r>
    <r>
      <rPr>
        <b/>
        <vertAlign val="subscript"/>
        <sz val="12"/>
        <rFont val="Arial"/>
        <family val="2"/>
      </rPr>
      <t>11.5</t>
    </r>
    <r>
      <rPr>
        <b/>
        <sz val="12"/>
        <rFont val="Arial"/>
        <family val="2"/>
      </rPr>
      <t>O</t>
    </r>
    <r>
      <rPr>
        <b/>
        <vertAlign val="subscript"/>
        <sz val="12"/>
        <rFont val="Arial"/>
        <family val="2"/>
      </rPr>
      <t>22</t>
    </r>
    <r>
      <rPr>
        <b/>
        <sz val="12"/>
        <rFont val="Arial"/>
        <family val="2"/>
      </rPr>
      <t>(OH)</t>
    </r>
    <r>
      <rPr>
        <b/>
        <vertAlign val="subscript"/>
        <sz val="12"/>
        <rFont val="Arial"/>
        <family val="2"/>
      </rPr>
      <t>2</t>
    </r>
  </si>
  <si>
    <t>Na-K exchg.</t>
  </si>
  <si>
    <t>Al Tschermak</t>
  </si>
  <si>
    <t>Mg-Fe exchg</t>
  </si>
  <si>
    <t>Fictive</t>
  </si>
  <si>
    <r>
      <t>SiO</t>
    </r>
    <r>
      <rPr>
        <b/>
        <vertAlign val="subscript"/>
        <sz val="12"/>
        <rFont val="Arial"/>
        <family val="2"/>
      </rPr>
      <t>2</t>
    </r>
    <r>
      <rPr>
        <b/>
        <sz val="12"/>
        <rFont val="Arial"/>
        <family val="2"/>
      </rPr>
      <t xml:space="preserve">  </t>
    </r>
  </si>
  <si>
    <r>
      <t>TiO</t>
    </r>
    <r>
      <rPr>
        <b/>
        <vertAlign val="subscript"/>
        <sz val="12"/>
        <rFont val="Arial"/>
        <family val="2"/>
      </rPr>
      <t>2</t>
    </r>
    <r>
      <rPr>
        <b/>
        <sz val="12"/>
        <rFont val="Arial"/>
        <family val="2"/>
      </rPr>
      <t xml:space="preserve">  </t>
    </r>
  </si>
  <si>
    <r>
      <t>AlO</t>
    </r>
    <r>
      <rPr>
        <b/>
        <vertAlign val="subscript"/>
        <sz val="12"/>
        <rFont val="Arial"/>
        <family val="2"/>
      </rPr>
      <t>3/2</t>
    </r>
  </si>
  <si>
    <r>
      <t>KO</t>
    </r>
    <r>
      <rPr>
        <b/>
        <vertAlign val="subscript"/>
        <sz val="12"/>
        <rFont val="Arial"/>
        <family val="2"/>
      </rPr>
      <t>0.5</t>
    </r>
  </si>
  <si>
    <r>
      <t>NaO</t>
    </r>
    <r>
      <rPr>
        <b/>
        <vertAlign val="subscript"/>
        <sz val="12"/>
        <rFont val="Arial"/>
        <family val="2"/>
      </rPr>
      <t>0.5</t>
    </r>
  </si>
  <si>
    <t>Inverse Matrix</t>
  </si>
  <si>
    <t>Amphibole Cations on Basis of 23 O (From Amphibole P-T Calcs Sheet)</t>
  </si>
  <si>
    <t>INPUT IS AUTOMATIC FROM SHEET: AMPHIBOLE P-T CALCS</t>
  </si>
  <si>
    <t>TRIANGULAR PLOT 1</t>
  </si>
  <si>
    <t>TRIANGULAR PLOT 2</t>
  </si>
  <si>
    <t>TRIANGULAR PLOT 3</t>
  </si>
  <si>
    <t>TRIANGULAR PLOT 4</t>
  </si>
  <si>
    <t>TRIANGULAR PLOT 5</t>
  </si>
  <si>
    <t>TRIANGULAR PLOT 6</t>
  </si>
  <si>
    <t>Triangular Plot End-Points and Mid-Points</t>
  </si>
  <si>
    <t>Component Transformation Matrix</t>
  </si>
  <si>
    <t>Create Ternary Plots in Excel By Using X-Y Coordinates in AB-AC; AI-AJ, etc.</t>
  </si>
  <si>
    <r>
      <t>Fm</t>
    </r>
    <r>
      <rPr>
        <b/>
        <vertAlign val="subscript"/>
        <sz val="12"/>
        <rFont val="Arial"/>
        <family val="2"/>
      </rPr>
      <t>7</t>
    </r>
    <r>
      <rPr>
        <b/>
        <sz val="12"/>
        <rFont val="Arial"/>
        <family val="2"/>
      </rPr>
      <t>Si</t>
    </r>
    <r>
      <rPr>
        <b/>
        <vertAlign val="subscript"/>
        <sz val="12"/>
        <rFont val="Arial"/>
        <family val="2"/>
      </rPr>
      <t>8</t>
    </r>
    <r>
      <rPr>
        <b/>
        <sz val="12"/>
        <rFont val="Arial"/>
        <family val="2"/>
      </rPr>
      <t>O</t>
    </r>
    <r>
      <rPr>
        <b/>
        <vertAlign val="subscript"/>
        <sz val="12"/>
        <rFont val="Arial"/>
        <family val="2"/>
      </rPr>
      <t>22</t>
    </r>
    <r>
      <rPr>
        <b/>
        <sz val="12"/>
        <rFont val="Arial"/>
        <family val="2"/>
      </rPr>
      <t>(OH)</t>
    </r>
    <r>
      <rPr>
        <b/>
        <vertAlign val="subscript"/>
        <sz val="12"/>
        <rFont val="Arial"/>
        <family val="2"/>
      </rPr>
      <t>2</t>
    </r>
  </si>
  <si>
    <r>
      <t>Ca</t>
    </r>
    <r>
      <rPr>
        <b/>
        <vertAlign val="subscript"/>
        <sz val="12"/>
        <rFont val="Arial"/>
        <family val="2"/>
      </rPr>
      <t>2</t>
    </r>
    <r>
      <rPr>
        <b/>
        <sz val="12"/>
        <rFont val="Arial"/>
        <family val="2"/>
      </rPr>
      <t>(Fm</t>
    </r>
    <r>
      <rPr>
        <b/>
        <vertAlign val="subscript"/>
        <sz val="12"/>
        <rFont val="Arial"/>
        <family val="2"/>
      </rPr>
      <t>5</t>
    </r>
    <r>
      <rPr>
        <b/>
        <sz val="12"/>
        <rFont val="Arial"/>
        <family val="2"/>
      </rPr>
      <t>)Si</t>
    </r>
    <r>
      <rPr>
        <b/>
        <vertAlign val="subscript"/>
        <sz val="12"/>
        <rFont val="Arial"/>
        <family val="2"/>
      </rPr>
      <t>8</t>
    </r>
    <r>
      <rPr>
        <b/>
        <sz val="12"/>
        <rFont val="Arial"/>
        <family val="2"/>
      </rPr>
      <t>O</t>
    </r>
    <r>
      <rPr>
        <b/>
        <vertAlign val="subscript"/>
        <sz val="12"/>
        <rFont val="Arial"/>
        <family val="2"/>
      </rPr>
      <t>22</t>
    </r>
    <r>
      <rPr>
        <b/>
        <sz val="12"/>
        <rFont val="Arial"/>
        <family val="2"/>
      </rPr>
      <t>(OH)</t>
    </r>
    <r>
      <rPr>
        <b/>
        <vertAlign val="subscript"/>
        <sz val="12"/>
        <rFont val="Arial"/>
        <family val="2"/>
      </rPr>
      <t>2</t>
    </r>
  </si>
  <si>
    <r>
      <t>NaTiAl</t>
    </r>
    <r>
      <rPr>
        <b/>
        <vertAlign val="subscript"/>
        <sz val="12"/>
        <rFont val="Arial"/>
        <family val="2"/>
      </rPr>
      <t>2</t>
    </r>
    <r>
      <rPr>
        <b/>
        <sz val="12"/>
        <rFont val="Arial"/>
        <family val="2"/>
      </rPr>
      <t>Fm</t>
    </r>
    <r>
      <rPr>
        <b/>
        <vertAlign val="subscript"/>
        <sz val="12"/>
        <rFont val="Arial"/>
        <family val="2"/>
      </rPr>
      <t>-1</t>
    </r>
    <r>
      <rPr>
        <b/>
        <sz val="12"/>
        <rFont val="Arial"/>
        <family val="2"/>
      </rPr>
      <t>Si</t>
    </r>
    <r>
      <rPr>
        <b/>
        <vertAlign val="subscript"/>
        <sz val="12"/>
        <rFont val="Arial"/>
        <family val="2"/>
      </rPr>
      <t>-2</t>
    </r>
    <r>
      <rPr>
        <b/>
        <sz val="12"/>
        <rFont val="Arial"/>
        <family val="2"/>
      </rPr>
      <t>H</t>
    </r>
    <r>
      <rPr>
        <b/>
        <vertAlign val="subscript"/>
        <sz val="12"/>
        <rFont val="Arial"/>
        <family val="2"/>
      </rPr>
      <t>-1</t>
    </r>
  </si>
  <si>
    <r>
      <t>Al</t>
    </r>
    <r>
      <rPr>
        <b/>
        <vertAlign val="subscript"/>
        <sz val="12"/>
        <rFont val="Arial"/>
        <family val="2"/>
      </rPr>
      <t>4</t>
    </r>
    <r>
      <rPr>
        <b/>
        <sz val="12"/>
        <rFont val="Arial"/>
        <family val="2"/>
      </rPr>
      <t>Si</t>
    </r>
    <r>
      <rPr>
        <b/>
        <vertAlign val="subscript"/>
        <sz val="12"/>
        <rFont val="Arial"/>
        <family val="2"/>
      </rPr>
      <t>-2</t>
    </r>
    <r>
      <rPr>
        <b/>
        <sz val="12"/>
        <rFont val="Arial"/>
        <family val="2"/>
      </rPr>
      <t>Fm</t>
    </r>
    <r>
      <rPr>
        <b/>
        <vertAlign val="subscript"/>
        <sz val="12"/>
        <rFont val="Arial"/>
        <family val="2"/>
      </rPr>
      <t>-2</t>
    </r>
  </si>
  <si>
    <r>
      <t>Fm</t>
    </r>
    <r>
      <rPr>
        <b/>
        <vertAlign val="subscript"/>
        <sz val="12"/>
        <rFont val="Arial"/>
        <family val="2"/>
      </rPr>
      <t>-1</t>
    </r>
    <r>
      <rPr>
        <b/>
        <sz val="12"/>
        <rFont val="Arial"/>
        <family val="2"/>
      </rPr>
      <t>Fe</t>
    </r>
  </si>
  <si>
    <t>Tremolite+Ferroactinolite</t>
  </si>
  <si>
    <t>Fm-Fe exchg</t>
  </si>
  <si>
    <t>Richterite</t>
  </si>
  <si>
    <t>Pargasite</t>
  </si>
  <si>
    <t>TRIANGULAR PLOT 7</t>
  </si>
  <si>
    <r>
      <t>Ca</t>
    </r>
    <r>
      <rPr>
        <b/>
        <vertAlign val="subscript"/>
        <sz val="14"/>
        <rFont val="Arial"/>
        <family val="2"/>
      </rPr>
      <t>2</t>
    </r>
    <r>
      <rPr>
        <b/>
        <sz val="14"/>
        <rFont val="Arial"/>
        <family val="2"/>
      </rPr>
      <t>(Mg</t>
    </r>
    <r>
      <rPr>
        <b/>
        <vertAlign val="subscript"/>
        <sz val="14"/>
        <rFont val="Arial"/>
        <family val="2"/>
      </rPr>
      <t>5</t>
    </r>
    <r>
      <rPr>
        <b/>
        <sz val="14"/>
        <rFont val="Arial"/>
        <family val="2"/>
      </rPr>
      <t>)Si</t>
    </r>
    <r>
      <rPr>
        <b/>
        <vertAlign val="subscript"/>
        <sz val="14"/>
        <rFont val="Arial"/>
        <family val="2"/>
      </rPr>
      <t>8</t>
    </r>
    <r>
      <rPr>
        <b/>
        <sz val="14"/>
        <rFont val="Arial"/>
        <family val="2"/>
      </rPr>
      <t>O</t>
    </r>
    <r>
      <rPr>
        <b/>
        <vertAlign val="subscript"/>
        <sz val="14"/>
        <rFont val="Arial"/>
        <family val="2"/>
      </rPr>
      <t>22</t>
    </r>
    <r>
      <rPr>
        <b/>
        <sz val="14"/>
        <rFont val="Arial"/>
        <family val="2"/>
      </rPr>
      <t>(OH)</t>
    </r>
    <r>
      <rPr>
        <b/>
        <vertAlign val="subscript"/>
        <sz val="14"/>
        <rFont val="Arial"/>
        <family val="2"/>
      </rPr>
      <t>2</t>
    </r>
  </si>
  <si>
    <r>
      <t>NaTiAl</t>
    </r>
    <r>
      <rPr>
        <b/>
        <vertAlign val="subscript"/>
        <sz val="14"/>
        <rFont val="Arial"/>
        <family val="2"/>
      </rPr>
      <t>2</t>
    </r>
    <r>
      <rPr>
        <b/>
        <sz val="14"/>
        <rFont val="Arial"/>
        <family val="2"/>
      </rPr>
      <t>Mg</t>
    </r>
    <r>
      <rPr>
        <b/>
        <vertAlign val="subscript"/>
        <sz val="14"/>
        <rFont val="Arial"/>
        <family val="2"/>
      </rPr>
      <t>-1</t>
    </r>
    <r>
      <rPr>
        <b/>
        <sz val="14"/>
        <rFont val="Arial"/>
        <family val="2"/>
      </rPr>
      <t>Si</t>
    </r>
    <r>
      <rPr>
        <b/>
        <vertAlign val="subscript"/>
        <sz val="14"/>
        <rFont val="Arial"/>
        <family val="2"/>
      </rPr>
      <t>-2</t>
    </r>
    <r>
      <rPr>
        <b/>
        <sz val="14"/>
        <rFont val="Arial"/>
        <family val="2"/>
      </rPr>
      <t>H</t>
    </r>
    <r>
      <rPr>
        <b/>
        <vertAlign val="subscript"/>
        <sz val="14"/>
        <rFont val="Arial"/>
        <family val="2"/>
      </rPr>
      <t>-1</t>
    </r>
  </si>
  <si>
    <r>
      <t>NaAlSi</t>
    </r>
    <r>
      <rPr>
        <b/>
        <vertAlign val="subscript"/>
        <sz val="14"/>
        <rFont val="Arial"/>
        <family val="2"/>
      </rPr>
      <t>-1</t>
    </r>
  </si>
  <si>
    <t>Cummingtonite</t>
  </si>
  <si>
    <t>TRIANGULAR PLOT 8</t>
  </si>
  <si>
    <r>
      <t>Ca</t>
    </r>
    <r>
      <rPr>
        <b/>
        <vertAlign val="subscript"/>
        <sz val="12"/>
        <rFont val="Arial"/>
        <family val="2"/>
      </rPr>
      <t>2</t>
    </r>
    <r>
      <rPr>
        <b/>
        <sz val="12"/>
        <rFont val="Arial"/>
        <family val="2"/>
      </rPr>
      <t>(Fm5)Si</t>
    </r>
    <r>
      <rPr>
        <b/>
        <vertAlign val="subscript"/>
        <sz val="12"/>
        <rFont val="Arial"/>
        <family val="2"/>
      </rPr>
      <t>8</t>
    </r>
    <r>
      <rPr>
        <b/>
        <sz val="12"/>
        <rFont val="Arial"/>
        <family val="2"/>
      </rPr>
      <t>O</t>
    </r>
    <r>
      <rPr>
        <b/>
        <vertAlign val="subscript"/>
        <sz val="12"/>
        <rFont val="Arial"/>
        <family val="2"/>
      </rPr>
      <t>22</t>
    </r>
    <r>
      <rPr>
        <b/>
        <sz val="12"/>
        <rFont val="Arial"/>
        <family val="2"/>
      </rPr>
      <t>(OH)</t>
    </r>
    <r>
      <rPr>
        <b/>
        <vertAlign val="subscript"/>
        <sz val="12"/>
        <rFont val="Arial"/>
        <family val="2"/>
      </rPr>
      <t>2</t>
    </r>
  </si>
  <si>
    <r>
      <t>NaTiAl</t>
    </r>
    <r>
      <rPr>
        <b/>
        <vertAlign val="subscript"/>
        <sz val="12"/>
        <rFont val="Arial"/>
        <family val="2"/>
      </rPr>
      <t>2Mg-1</t>
    </r>
    <r>
      <rPr>
        <b/>
        <sz val="12"/>
        <rFont val="Arial"/>
        <family val="2"/>
      </rPr>
      <t>Si</t>
    </r>
    <r>
      <rPr>
        <b/>
        <vertAlign val="subscript"/>
        <sz val="12"/>
        <rFont val="Arial"/>
        <family val="2"/>
      </rPr>
      <t>-2</t>
    </r>
    <r>
      <rPr>
        <b/>
        <sz val="12"/>
        <rFont val="Arial"/>
        <family val="2"/>
      </rPr>
      <t>H</t>
    </r>
    <r>
      <rPr>
        <b/>
        <vertAlign val="subscript"/>
        <sz val="12"/>
        <rFont val="Arial"/>
        <family val="2"/>
      </rPr>
      <t>-1</t>
    </r>
  </si>
  <si>
    <t>Same as plot 5, but in natural amphiboles,</t>
  </si>
  <si>
    <t xml:space="preserve"> plot Tremolite, rather than Tremolite + Ferractinolite</t>
  </si>
  <si>
    <t>Quartz-Fayalite-Magnetite (QFM) buffer</t>
  </si>
  <si>
    <t>End-member Components: projection scheme</t>
  </si>
  <si>
    <t>Ignore "#DIV/0!"  errors; some end-members do not plot in certain ternary projections</t>
  </si>
  <si>
    <t>Site occupancies in FO-GQ</t>
  </si>
  <si>
    <t>Site Occupanices</t>
  </si>
  <si>
    <t>Na-K exchange</t>
  </si>
  <si>
    <t>Na+Al-Si exchange</t>
  </si>
  <si>
    <r>
      <t>Mg</t>
    </r>
    <r>
      <rPr>
        <vertAlign val="subscript"/>
        <sz val="14"/>
        <color rgb="FFFF0000"/>
        <rFont val="Arial"/>
        <family val="2"/>
      </rPr>
      <t>7</t>
    </r>
    <r>
      <rPr>
        <sz val="14"/>
        <color rgb="FFFF0000"/>
        <rFont val="Arial"/>
        <family val="2"/>
      </rPr>
      <t>Si</t>
    </r>
    <r>
      <rPr>
        <vertAlign val="subscript"/>
        <sz val="14"/>
        <color indexed="10"/>
        <rFont val="Arial"/>
        <family val="2"/>
      </rPr>
      <t>8</t>
    </r>
    <r>
      <rPr>
        <sz val="14"/>
        <color indexed="10"/>
        <rFont val="Arial"/>
        <family val="2"/>
      </rPr>
      <t>O</t>
    </r>
    <r>
      <rPr>
        <vertAlign val="subscript"/>
        <sz val="14"/>
        <color indexed="10"/>
        <rFont val="Arial"/>
        <family val="2"/>
      </rPr>
      <t>22</t>
    </r>
    <r>
      <rPr>
        <sz val="14"/>
        <color indexed="10"/>
        <rFont val="Arial"/>
        <family val="2"/>
      </rPr>
      <t>(OH)</t>
    </r>
    <r>
      <rPr>
        <vertAlign val="subscript"/>
        <sz val="14"/>
        <color indexed="10"/>
        <rFont val="Arial"/>
        <family val="2"/>
      </rPr>
      <t>2</t>
    </r>
  </si>
  <si>
    <t>1) Enter Liquid compositions in columns F-Q, &amp; amphibole compositions in S-AB</t>
  </si>
  <si>
    <t>2) To add more data, select an entire row below, by selecting a row nubmer, then copy and paste into</t>
  </si>
  <si>
    <t>empty rows below. Add new data as in step 1). Then "Fill down" in "Amph exhcg components sheet"</t>
  </si>
  <si>
    <t>Barometers from Putirka (2016) Am Min</t>
  </si>
  <si>
    <t>Thermometers from Putirka (2016) American Mineralogist</t>
  </si>
  <si>
    <t>Mg# amph</t>
  </si>
  <si>
    <t>Mg#</t>
  </si>
  <si>
    <t>Mutch et al. (2016)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</si>
</sst>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0.00_);_(&quot;$&quot;* \(#,##0.00\);_(&quot;$&quot;* &quot;-&quot;??_);_(@_)"/>
    <numFmt numFmtId="165" formatCode="0.0"/>
    <numFmt numFmtId="166" formatCode="0.000"/>
    <numFmt numFmtId="167" formatCode="0.0000"/>
  </numFmts>
  <fonts count="58" x14ac:knownFonts="1">
    <font>
      <sz val="10"/>
      <name val="Arial"/>
    </font>
    <font>
      <sz val="12"/>
      <name val="Arial"/>
      <family val="2"/>
    </font>
    <font>
      <sz val="12"/>
      <color theme="1"/>
      <name val="Arial"/>
      <family val="2"/>
    </font>
    <font>
      <sz val="12"/>
      <name val="Arial"/>
      <family val="2"/>
    </font>
    <font>
      <b/>
      <sz val="12"/>
      <color indexed="10"/>
      <name val="Arial"/>
      <family val="2"/>
    </font>
    <font>
      <sz val="8"/>
      <name val="Verdana"/>
      <family val="2"/>
    </font>
    <font>
      <b/>
      <sz val="16"/>
      <name val="Arial"/>
      <family val="2"/>
    </font>
    <font>
      <sz val="10"/>
      <name val="Verdana"/>
      <family val="2"/>
    </font>
    <font>
      <sz val="12"/>
      <color indexed="10"/>
      <name val="Arial"/>
      <family val="2"/>
    </font>
    <font>
      <b/>
      <sz val="16"/>
      <color indexed="10"/>
      <name val="Arial"/>
      <family val="2"/>
    </font>
    <font>
      <sz val="10"/>
      <color indexed="18"/>
      <name val="Verdana"/>
      <family val="2"/>
    </font>
    <font>
      <sz val="10"/>
      <color indexed="18"/>
      <name val="Arial"/>
      <family val="2"/>
    </font>
    <font>
      <sz val="14"/>
      <name val="Verdana"/>
      <family val="2"/>
    </font>
    <font>
      <sz val="14"/>
      <color indexed="10"/>
      <name val="Arial"/>
      <family val="2"/>
    </font>
    <font>
      <sz val="14"/>
      <color indexed="18"/>
      <name val="Verdana"/>
      <family val="2"/>
    </font>
    <font>
      <b/>
      <sz val="14"/>
      <color indexed="8"/>
      <name val="Arial"/>
      <family val="2"/>
    </font>
    <font>
      <sz val="16"/>
      <name val="Verdana"/>
      <family val="2"/>
    </font>
    <font>
      <sz val="16"/>
      <name val="Arial"/>
      <family val="2"/>
    </font>
    <font>
      <sz val="16"/>
      <color indexed="18"/>
      <name val="Arial"/>
      <family val="2"/>
    </font>
    <font>
      <b/>
      <sz val="14"/>
      <name val="Arial"/>
      <family val="2"/>
    </font>
    <font>
      <u/>
      <sz val="10"/>
      <color theme="10"/>
      <name val="Arial"/>
      <family val="2"/>
    </font>
    <font>
      <u/>
      <sz val="10"/>
      <color theme="11"/>
      <name val="Arial"/>
      <family val="2"/>
    </font>
    <font>
      <b/>
      <sz val="16"/>
      <color rgb="FFFF0000"/>
      <name val="Arial"/>
      <family val="2"/>
    </font>
    <font>
      <b/>
      <sz val="12"/>
      <color rgb="FFFF0000"/>
      <name val="Arial"/>
      <family val="2"/>
    </font>
    <font>
      <b/>
      <sz val="12"/>
      <color theme="1"/>
      <name val="Arial"/>
      <family val="2"/>
    </font>
    <font>
      <i/>
      <sz val="14"/>
      <name val="Arial"/>
      <family val="2"/>
    </font>
    <font>
      <b/>
      <sz val="14"/>
      <color rgb="FF3366FF"/>
      <name val="Arial"/>
      <family val="2"/>
    </font>
    <font>
      <b/>
      <sz val="14"/>
      <color indexed="10"/>
      <name val="Arial"/>
      <family val="2"/>
    </font>
    <font>
      <b/>
      <sz val="12"/>
      <name val="Arial"/>
      <family val="2"/>
    </font>
    <font>
      <sz val="16"/>
      <color rgb="FFFF0000"/>
      <name val="Arial"/>
      <family val="2"/>
    </font>
    <font>
      <sz val="14"/>
      <color rgb="FFFF0000"/>
      <name val="Arial"/>
      <family val="2"/>
    </font>
    <font>
      <b/>
      <sz val="14"/>
      <color rgb="FFFF0000"/>
      <name val="Arial"/>
      <family val="2"/>
    </font>
    <font>
      <b/>
      <vertAlign val="subscript"/>
      <sz val="12"/>
      <color rgb="FFFF0000"/>
      <name val="Arial"/>
      <family val="2"/>
    </font>
    <font>
      <b/>
      <vertAlign val="subscript"/>
      <sz val="14"/>
      <color rgb="FFFF0000"/>
      <name val="Arial"/>
      <family val="2"/>
    </font>
    <font>
      <b/>
      <sz val="11"/>
      <name val="Arial"/>
      <family val="2"/>
    </font>
    <font>
      <b/>
      <sz val="22"/>
      <name val="Arial"/>
      <family val="2"/>
    </font>
    <font>
      <b/>
      <i/>
      <sz val="16"/>
      <name val="Arial"/>
      <family val="2"/>
    </font>
    <font>
      <sz val="16"/>
      <color theme="1"/>
      <name val="Arial"/>
      <family val="2"/>
    </font>
    <font>
      <b/>
      <sz val="16"/>
      <color rgb="FFFF0000"/>
      <name val="Verdana"/>
      <family val="2"/>
    </font>
    <font>
      <b/>
      <sz val="11"/>
      <color indexed="8"/>
      <name val="Verdana"/>
      <family val="2"/>
    </font>
    <font>
      <sz val="10"/>
      <color indexed="8"/>
      <name val="Verdana"/>
      <family val="2"/>
    </font>
    <font>
      <b/>
      <sz val="12"/>
      <color rgb="FFFF0000"/>
      <name val="Verdana"/>
      <family val="2"/>
    </font>
    <font>
      <sz val="9"/>
      <color indexed="81"/>
      <name val="Arial"/>
      <family val="2"/>
    </font>
    <font>
      <b/>
      <sz val="9"/>
      <color indexed="81"/>
      <name val="Arial"/>
      <family val="2"/>
    </font>
    <font>
      <sz val="10"/>
      <color indexed="81"/>
      <name val="Arial"/>
      <family val="2"/>
    </font>
    <font>
      <sz val="14"/>
      <name val="Arial"/>
      <family val="2"/>
    </font>
    <font>
      <sz val="10"/>
      <color rgb="FFFF0000"/>
      <name val="Arial"/>
      <family val="2"/>
    </font>
    <font>
      <vertAlign val="subscript"/>
      <sz val="14"/>
      <color indexed="10"/>
      <name val="Arial"/>
      <family val="2"/>
    </font>
    <font>
      <b/>
      <vertAlign val="subscript"/>
      <sz val="12"/>
      <name val="Arial"/>
      <family val="2"/>
    </font>
    <font>
      <sz val="11"/>
      <name val="Arial"/>
      <family val="2"/>
    </font>
    <font>
      <b/>
      <vertAlign val="subscript"/>
      <sz val="14"/>
      <name val="Arial"/>
      <family val="2"/>
    </font>
    <font>
      <sz val="10"/>
      <name val="Arial"/>
      <family val="2"/>
    </font>
    <font>
      <b/>
      <sz val="20"/>
      <color indexed="10"/>
      <name val="Arial"/>
      <family val="2"/>
    </font>
    <font>
      <vertAlign val="subscript"/>
      <sz val="14"/>
      <color rgb="FFFF0000"/>
      <name val="Arial"/>
      <family val="2"/>
    </font>
    <font>
      <b/>
      <sz val="10"/>
      <name val="Arial"/>
      <family val="2"/>
    </font>
    <font>
      <b/>
      <sz val="9"/>
      <color rgb="FF000000"/>
      <name val="Arial"/>
      <family val="2"/>
    </font>
    <font>
      <sz val="9"/>
      <color rgb="FF000000"/>
      <name val="Arial"/>
      <family val="2"/>
    </font>
    <font>
      <sz val="11"/>
      <color rgb="FF000000"/>
      <name val="Arial"/>
      <family val="2"/>
    </font>
  </fonts>
  <fills count="6">
    <fill>
      <patternFill patternType="none"/>
    </fill>
    <fill>
      <patternFill patternType="gray125"/>
    </fill>
    <fill>
      <patternFill patternType="solid">
        <fgColor theme="0" tint="-0.249977111117893"/>
        <bgColor indexed="64"/>
      </patternFill>
    </fill>
    <fill>
      <patternFill patternType="solid">
        <fgColor theme="3" tint="0.59999389629810485"/>
        <bgColor indexed="64"/>
      </patternFill>
    </fill>
    <fill>
      <patternFill patternType="solid">
        <fgColor theme="0" tint="-0.14999847407452621"/>
        <bgColor indexed="64"/>
      </patternFill>
    </fill>
    <fill>
      <patternFill patternType="solid">
        <fgColor theme="3" tint="0.79998168889431442"/>
        <bgColor indexed="64"/>
      </patternFill>
    </fill>
  </fills>
  <borders count="17">
    <border>
      <left/>
      <right/>
      <top/>
      <bottom/>
      <diagonal/>
    </border>
    <border>
      <left/>
      <right/>
      <top style="medium">
        <color auto="1"/>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thick">
        <color auto="1"/>
      </left>
      <right style="thick">
        <color auto="1"/>
      </right>
      <top style="thick">
        <color auto="1"/>
      </top>
      <bottom style="thick">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diagonal/>
    </border>
    <border>
      <left/>
      <right/>
      <top/>
      <bottom style="thick">
        <color auto="1"/>
      </bottom>
      <diagonal/>
    </border>
    <border>
      <left style="medium">
        <color auto="1"/>
      </left>
      <right/>
      <top/>
      <bottom style="medium">
        <color auto="1"/>
      </bottom>
      <diagonal/>
    </border>
    <border>
      <left/>
      <right/>
      <top style="medium">
        <color auto="1"/>
      </top>
      <bottom style="thick">
        <color auto="1"/>
      </bottom>
      <diagonal/>
    </border>
  </borders>
  <cellStyleXfs count="456">
    <xf numFmtId="0" fontId="0" fillId="0" borderId="0" applyFill="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164" fontId="51" fillId="0" borderId="0" applyFon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cellStyleXfs>
  <cellXfs count="142">
    <xf numFmtId="0" fontId="0" fillId="0" borderId="0" xfId="0" applyFill="1"/>
    <xf numFmtId="0" fontId="4" fillId="0" borderId="0" xfId="0" applyFont="1" applyFill="1"/>
    <xf numFmtId="0" fontId="6" fillId="0" borderId="0" xfId="0" applyFont="1" applyFill="1"/>
    <xf numFmtId="0" fontId="0" fillId="0" borderId="0" xfId="0" applyFill="1" applyAlignment="1">
      <alignment horizontal="center"/>
    </xf>
    <xf numFmtId="0" fontId="8" fillId="0" borderId="0" xfId="0" applyFont="1" applyFill="1"/>
    <xf numFmtId="0" fontId="9" fillId="0" borderId="0" xfId="0" applyFont="1" applyFill="1"/>
    <xf numFmtId="0" fontId="6" fillId="0" borderId="0" xfId="0" applyFont="1" applyFill="1" applyAlignment="1">
      <alignment horizontal="center"/>
    </xf>
    <xf numFmtId="0" fontId="7" fillId="0" borderId="0" xfId="0" applyFont="1" applyFill="1" applyAlignment="1">
      <alignment horizontal="center"/>
    </xf>
    <xf numFmtId="0" fontId="10" fillId="0" borderId="0" xfId="0" applyFont="1" applyFill="1" applyAlignment="1">
      <alignment horizontal="center"/>
    </xf>
    <xf numFmtId="0" fontId="11" fillId="0" borderId="0" xfId="0" applyFont="1" applyFill="1" applyAlignment="1">
      <alignment horizontal="center"/>
    </xf>
    <xf numFmtId="0" fontId="13" fillId="0" borderId="0" xfId="0" applyFont="1" applyFill="1"/>
    <xf numFmtId="0" fontId="6" fillId="0" borderId="0" xfId="0" applyFont="1" applyFill="1" applyAlignment="1">
      <alignment horizontal="left"/>
    </xf>
    <xf numFmtId="0" fontId="15" fillId="0" borderId="0" xfId="0" applyFont="1" applyFill="1" applyAlignment="1">
      <alignment horizontal="center"/>
    </xf>
    <xf numFmtId="0" fontId="16" fillId="0" borderId="0" xfId="0" applyFont="1" applyFill="1" applyAlignment="1">
      <alignment horizontal="center"/>
    </xf>
    <xf numFmtId="0" fontId="17" fillId="0" borderId="0" xfId="0" applyFont="1" applyFill="1" applyAlignment="1">
      <alignment horizontal="center"/>
    </xf>
    <xf numFmtId="0" fontId="17" fillId="0" borderId="0" xfId="0" applyFont="1" applyFill="1"/>
    <xf numFmtId="0" fontId="18" fillId="0" borderId="0" xfId="0" applyFont="1" applyFill="1" applyAlignment="1">
      <alignment horizontal="center"/>
    </xf>
    <xf numFmtId="0" fontId="22" fillId="0" borderId="0" xfId="0" applyFont="1" applyFill="1" applyAlignment="1">
      <alignment horizontal="center"/>
    </xf>
    <xf numFmtId="0" fontId="23" fillId="0" borderId="0" xfId="0" applyFont="1" applyFill="1" applyAlignment="1">
      <alignment horizontal="center"/>
    </xf>
    <xf numFmtId="0" fontId="0" fillId="0" borderId="0" xfId="0" applyFill="1" applyBorder="1"/>
    <xf numFmtId="0" fontId="26" fillId="0" borderId="0" xfId="0" applyFont="1" applyFill="1"/>
    <xf numFmtId="0" fontId="24" fillId="0" borderId="0" xfId="0" applyFont="1" applyFill="1"/>
    <xf numFmtId="0" fontId="2" fillId="0" borderId="0" xfId="0" applyFont="1" applyFill="1" applyBorder="1"/>
    <xf numFmtId="0" fontId="2" fillId="0" borderId="0" xfId="0" applyFont="1" applyFill="1" applyBorder="1" applyAlignment="1">
      <alignment horizontal="center"/>
    </xf>
    <xf numFmtId="0" fontId="7" fillId="0" borderId="0" xfId="0" applyFont="1" applyFill="1" applyAlignment="1">
      <alignment horizontal="left"/>
    </xf>
    <xf numFmtId="0" fontId="13" fillId="0" borderId="0" xfId="0" applyFont="1" applyFill="1" applyAlignment="1">
      <alignment horizontal="center"/>
    </xf>
    <xf numFmtId="0" fontId="0" fillId="0" borderId="0" xfId="0" applyFont="1" applyFill="1" applyAlignment="1">
      <alignment horizontal="center"/>
    </xf>
    <xf numFmtId="0" fontId="28" fillId="0" borderId="0" xfId="0" applyFont="1" applyFill="1" applyAlignment="1">
      <alignment horizontal="center"/>
    </xf>
    <xf numFmtId="0" fontId="4" fillId="0" borderId="0" xfId="0" applyFont="1" applyFill="1" applyAlignment="1">
      <alignment horizontal="center"/>
    </xf>
    <xf numFmtId="0" fontId="22" fillId="0" borderId="1" xfId="0" applyFont="1" applyFill="1" applyBorder="1" applyAlignment="1">
      <alignment horizontal="center"/>
    </xf>
    <xf numFmtId="0" fontId="23" fillId="0" borderId="1" xfId="0" applyFont="1" applyFill="1" applyBorder="1" applyAlignment="1">
      <alignment horizontal="center"/>
    </xf>
    <xf numFmtId="0" fontId="28" fillId="0" borderId="1" xfId="0" applyFont="1" applyFill="1" applyBorder="1" applyAlignment="1">
      <alignment horizontal="center"/>
    </xf>
    <xf numFmtId="0" fontId="0" fillId="0" borderId="1" xfId="0" applyFill="1" applyBorder="1" applyAlignment="1">
      <alignment horizontal="center"/>
    </xf>
    <xf numFmtId="0" fontId="31" fillId="0" borderId="1" xfId="0" applyFont="1" applyFill="1" applyBorder="1" applyAlignment="1">
      <alignment horizontal="center"/>
    </xf>
    <xf numFmtId="0" fontId="31" fillId="0" borderId="0" xfId="0" applyFont="1" applyFill="1" applyAlignment="1">
      <alignment horizontal="center"/>
    </xf>
    <xf numFmtId="165" fontId="2" fillId="3" borderId="0" xfId="0" applyNumberFormat="1" applyFont="1" applyFill="1" applyBorder="1" applyAlignment="1">
      <alignment horizontal="center"/>
    </xf>
    <xf numFmtId="165" fontId="2" fillId="0" borderId="0" xfId="0" applyNumberFormat="1" applyFont="1" applyFill="1" applyBorder="1" applyAlignment="1">
      <alignment horizontal="center"/>
    </xf>
    <xf numFmtId="1" fontId="2" fillId="3" borderId="0" xfId="0" applyNumberFormat="1" applyFont="1" applyFill="1" applyBorder="1" applyAlignment="1">
      <alignment horizontal="center"/>
    </xf>
    <xf numFmtId="1" fontId="2" fillId="0" borderId="0" xfId="0" applyNumberFormat="1" applyFont="1" applyFill="1" applyBorder="1" applyAlignment="1">
      <alignment horizontal="center"/>
    </xf>
    <xf numFmtId="0" fontId="12" fillId="0" borderId="1" xfId="0" applyFont="1" applyFill="1" applyBorder="1" applyAlignment="1">
      <alignment horizontal="center"/>
    </xf>
    <xf numFmtId="0" fontId="14" fillId="0" borderId="1" xfId="0" applyFont="1" applyFill="1" applyBorder="1" applyAlignment="1">
      <alignment horizontal="center"/>
    </xf>
    <xf numFmtId="0" fontId="35" fillId="0" borderId="0" xfId="0" applyFont="1" applyFill="1" applyAlignment="1">
      <alignment horizontal="left"/>
    </xf>
    <xf numFmtId="0" fontId="19" fillId="3" borderId="0" xfId="0" applyFont="1" applyFill="1"/>
    <xf numFmtId="0" fontId="19" fillId="4" borderId="0" xfId="0" applyFont="1" applyFill="1"/>
    <xf numFmtId="0" fontId="17" fillId="4" borderId="0" xfId="0" applyFont="1" applyFill="1"/>
    <xf numFmtId="0" fontId="0" fillId="4" borderId="0" xfId="0" applyFill="1"/>
    <xf numFmtId="0" fontId="0" fillId="4" borderId="0" xfId="0" applyFill="1" applyAlignment="1">
      <alignment horizontal="center"/>
    </xf>
    <xf numFmtId="0" fontId="0" fillId="3" borderId="0" xfId="0" applyFill="1"/>
    <xf numFmtId="0" fontId="0" fillId="3" borderId="0" xfId="0" applyFill="1" applyAlignment="1">
      <alignment horizontal="center"/>
    </xf>
    <xf numFmtId="0" fontId="19" fillId="0" borderId="1" xfId="0" applyFont="1" applyFill="1" applyBorder="1" applyAlignment="1">
      <alignment horizontal="center"/>
    </xf>
    <xf numFmtId="166" fontId="2" fillId="3" borderId="0" xfId="0" applyNumberFormat="1" applyFont="1" applyFill="1" applyBorder="1" applyAlignment="1">
      <alignment horizontal="center"/>
    </xf>
    <xf numFmtId="0" fontId="22" fillId="0" borderId="0" xfId="0" applyFont="1" applyFill="1" applyAlignment="1">
      <alignment horizontal="left"/>
    </xf>
    <xf numFmtId="0" fontId="34" fillId="0" borderId="2" xfId="0" applyFont="1" applyFill="1" applyBorder="1" applyAlignment="1">
      <alignment horizontal="center"/>
    </xf>
    <xf numFmtId="0" fontId="34" fillId="0" borderId="3" xfId="0" applyFont="1" applyFill="1" applyBorder="1" applyAlignment="1">
      <alignment horizontal="center"/>
    </xf>
    <xf numFmtId="0" fontId="29" fillId="0" borderId="0" xfId="0" applyFont="1" applyFill="1"/>
    <xf numFmtId="0" fontId="30" fillId="0" borderId="0" xfId="0" applyFont="1" applyFill="1"/>
    <xf numFmtId="0" fontId="0" fillId="0" borderId="5" xfId="0" applyFill="1" applyBorder="1" applyAlignment="1">
      <alignment horizontal="center"/>
    </xf>
    <xf numFmtId="0" fontId="25" fillId="0" borderId="6" xfId="0" applyFont="1" applyFill="1" applyBorder="1" applyAlignment="1">
      <alignment horizontal="left"/>
    </xf>
    <xf numFmtId="0" fontId="0" fillId="0" borderId="7" xfId="0" applyFill="1" applyBorder="1" applyAlignment="1">
      <alignment horizontal="center"/>
    </xf>
    <xf numFmtId="0" fontId="6" fillId="0" borderId="6" xfId="0" applyFont="1" applyFill="1" applyBorder="1" applyAlignment="1">
      <alignment horizontal="center"/>
    </xf>
    <xf numFmtId="0" fontId="15" fillId="0" borderId="8" xfId="0" applyFont="1" applyFill="1" applyBorder="1" applyAlignment="1">
      <alignment horizontal="center"/>
    </xf>
    <xf numFmtId="0" fontId="15" fillId="0" borderId="9" xfId="0" applyFont="1" applyFill="1" applyBorder="1" applyAlignment="1">
      <alignment horizontal="center"/>
    </xf>
    <xf numFmtId="0" fontId="6" fillId="3" borderId="0" xfId="0" applyFont="1" applyFill="1"/>
    <xf numFmtId="0" fontId="36" fillId="0" borderId="4" xfId="0" applyFont="1" applyFill="1" applyBorder="1" applyAlignment="1">
      <alignment horizontal="left"/>
    </xf>
    <xf numFmtId="167" fontId="0" fillId="0" borderId="0" xfId="0" applyNumberFormat="1" applyFill="1" applyAlignment="1">
      <alignment horizontal="center"/>
    </xf>
    <xf numFmtId="0" fontId="38" fillId="0" borderId="0" xfId="0" applyFont="1" applyAlignment="1">
      <alignment horizontal="center"/>
    </xf>
    <xf numFmtId="0" fontId="39" fillId="0" borderId="3" xfId="0" applyFont="1" applyBorder="1" applyAlignment="1">
      <alignment horizontal="center"/>
    </xf>
    <xf numFmtId="0" fontId="3" fillId="0" borderId="0" xfId="0" applyFont="1" applyFill="1"/>
    <xf numFmtId="0" fontId="0" fillId="0" borderId="3" xfId="0" applyFill="1" applyBorder="1" applyAlignment="1">
      <alignment horizontal="center"/>
    </xf>
    <xf numFmtId="0" fontId="28" fillId="0" borderId="0" xfId="0" applyFont="1" applyFill="1" applyBorder="1" applyAlignment="1">
      <alignment horizontal="center"/>
    </xf>
    <xf numFmtId="0" fontId="7" fillId="0" borderId="0" xfId="0" applyFont="1" applyFill="1" applyBorder="1" applyAlignment="1">
      <alignment horizontal="center"/>
    </xf>
    <xf numFmtId="0" fontId="0" fillId="0" borderId="0" xfId="0" applyFill="1" applyBorder="1" applyAlignment="1">
      <alignment horizontal="center"/>
    </xf>
    <xf numFmtId="0" fontId="37" fillId="0" borderId="4" xfId="0" applyFont="1" applyFill="1" applyBorder="1"/>
    <xf numFmtId="0" fontId="7" fillId="0" borderId="2" xfId="0" applyFont="1" applyFill="1" applyBorder="1" applyAlignment="1">
      <alignment horizontal="center"/>
    </xf>
    <xf numFmtId="0" fontId="7" fillId="0" borderId="5" xfId="0" applyFont="1" applyFill="1" applyBorder="1" applyAlignment="1">
      <alignment horizontal="center"/>
    </xf>
    <xf numFmtId="0" fontId="17" fillId="0" borderId="6" xfId="0" applyFont="1" applyFill="1" applyBorder="1" applyAlignment="1">
      <alignment horizontal="left"/>
    </xf>
    <xf numFmtId="0" fontId="7" fillId="0" borderId="7" xfId="0" applyFont="1" applyFill="1" applyBorder="1" applyAlignment="1">
      <alignment horizontal="center"/>
    </xf>
    <xf numFmtId="0" fontId="41" fillId="0" borderId="6" xfId="0" applyFont="1" applyFill="1" applyBorder="1" applyAlignment="1">
      <alignment horizontal="center"/>
    </xf>
    <xf numFmtId="0" fontId="0" fillId="0" borderId="10" xfId="0" applyFill="1" applyBorder="1" applyAlignment="1">
      <alignment horizontal="center"/>
    </xf>
    <xf numFmtId="0" fontId="41" fillId="4" borderId="11" xfId="0" applyFont="1" applyFill="1" applyBorder="1" applyAlignment="1">
      <alignment horizontal="center"/>
    </xf>
    <xf numFmtId="0" fontId="6" fillId="0" borderId="12" xfId="0" applyFont="1" applyFill="1" applyBorder="1" applyAlignment="1">
      <alignment horizontal="center"/>
    </xf>
    <xf numFmtId="0" fontId="31" fillId="0" borderId="2" xfId="0" applyFont="1" applyFill="1" applyBorder="1" applyAlignment="1">
      <alignment horizontal="center"/>
    </xf>
    <xf numFmtId="0" fontId="27" fillId="0" borderId="3" xfId="0" applyFont="1" applyFill="1" applyBorder="1" applyAlignment="1">
      <alignment horizontal="center"/>
    </xf>
    <xf numFmtId="0" fontId="4" fillId="0" borderId="3" xfId="0" applyFont="1" applyFill="1" applyBorder="1" applyAlignment="1">
      <alignment horizontal="center"/>
    </xf>
    <xf numFmtId="0" fontId="23" fillId="0" borderId="0" xfId="0" applyFont="1" applyFill="1" applyBorder="1" applyAlignment="1">
      <alignment horizontal="center"/>
    </xf>
    <xf numFmtId="0" fontId="23" fillId="0" borderId="13" xfId="0" applyFont="1" applyFill="1" applyBorder="1" applyAlignment="1">
      <alignment horizontal="center"/>
    </xf>
    <xf numFmtId="0" fontId="2" fillId="5" borderId="0" xfId="0" applyFont="1" applyFill="1" applyBorder="1" applyAlignment="1">
      <alignment horizontal="center"/>
    </xf>
    <xf numFmtId="0" fontId="2" fillId="5" borderId="0" xfId="0" applyFont="1" applyFill="1" applyBorder="1"/>
    <xf numFmtId="0" fontId="40" fillId="5" borderId="0" xfId="0" applyFont="1" applyFill="1"/>
    <xf numFmtId="167" fontId="2" fillId="5" borderId="0" xfId="0" applyNumberFormat="1" applyFont="1" applyFill="1" applyBorder="1"/>
    <xf numFmtId="0" fontId="3" fillId="0" borderId="3" xfId="0" applyFont="1" applyFill="1" applyBorder="1" applyAlignment="1">
      <alignment horizontal="left"/>
    </xf>
    <xf numFmtId="0" fontId="3" fillId="0" borderId="3" xfId="0" applyFont="1" applyFill="1" applyBorder="1" applyAlignment="1">
      <alignment horizontal="center"/>
    </xf>
    <xf numFmtId="0" fontId="3" fillId="0" borderId="0" xfId="0" applyFont="1" applyFill="1" applyAlignment="1">
      <alignment horizontal="center"/>
    </xf>
    <xf numFmtId="167" fontId="3" fillId="0" borderId="0" xfId="0" applyNumberFormat="1" applyFont="1" applyFill="1" applyAlignment="1">
      <alignment horizontal="center"/>
    </xf>
    <xf numFmtId="0" fontId="3" fillId="0" borderId="2" xfId="0" applyFont="1" applyFill="1" applyBorder="1" applyAlignment="1">
      <alignment horizontal="center"/>
    </xf>
    <xf numFmtId="2" fontId="3" fillId="2" borderId="0" xfId="0" applyNumberFormat="1" applyFont="1" applyFill="1" applyBorder="1" applyAlignment="1">
      <alignment horizontal="center"/>
    </xf>
    <xf numFmtId="2" fontId="3" fillId="2" borderId="0" xfId="0" applyNumberFormat="1" applyFont="1" applyFill="1" applyBorder="1" applyAlignment="1">
      <alignment horizontal="center" wrapText="1"/>
    </xf>
    <xf numFmtId="0" fontId="45" fillId="0" borderId="0" xfId="0" applyFont="1" applyFill="1" applyBorder="1" applyAlignment="1">
      <alignment horizontal="left"/>
    </xf>
    <xf numFmtId="0" fontId="3" fillId="2" borderId="0" xfId="0" applyFont="1" applyFill="1" applyBorder="1" applyAlignment="1">
      <alignment horizontal="center"/>
    </xf>
    <xf numFmtId="0" fontId="3" fillId="2" borderId="0" xfId="0" applyFont="1" applyFill="1" applyBorder="1" applyAlignment="1">
      <alignment horizontal="center" wrapText="1"/>
    </xf>
    <xf numFmtId="0" fontId="0" fillId="0" borderId="0" xfId="0" applyAlignment="1">
      <alignment horizontal="center"/>
    </xf>
    <xf numFmtId="0" fontId="31" fillId="0" borderId="0" xfId="0" applyFont="1" applyFill="1"/>
    <xf numFmtId="0" fontId="46" fillId="0" borderId="0" xfId="0" applyFont="1" applyFill="1"/>
    <xf numFmtId="0" fontId="11" fillId="0" borderId="0" xfId="0" applyFont="1" applyFill="1"/>
    <xf numFmtId="0" fontId="19" fillId="0" borderId="0" xfId="0" applyFont="1" applyFill="1"/>
    <xf numFmtId="0" fontId="3" fillId="0" borderId="14" xfId="0" applyFont="1" applyFill="1" applyBorder="1"/>
    <xf numFmtId="0" fontId="30" fillId="0" borderId="0" xfId="0" applyFont="1" applyFill="1" applyAlignment="1">
      <alignment horizontal="center"/>
    </xf>
    <xf numFmtId="0" fontId="49" fillId="3" borderId="0" xfId="0" applyFont="1" applyFill="1" applyAlignment="1">
      <alignment horizontal="left"/>
    </xf>
    <xf numFmtId="0" fontId="49" fillId="3" borderId="0" xfId="0" applyFont="1" applyFill="1" applyAlignment="1">
      <alignment horizontal="center"/>
    </xf>
    <xf numFmtId="0" fontId="19" fillId="0" borderId="4" xfId="0" applyFont="1" applyFill="1" applyBorder="1"/>
    <xf numFmtId="0" fontId="0" fillId="0" borderId="2" xfId="0" applyFill="1" applyBorder="1"/>
    <xf numFmtId="0" fontId="3" fillId="0" borderId="2" xfId="0" applyFont="1" applyFill="1" applyBorder="1"/>
    <xf numFmtId="0" fontId="3" fillId="0" borderId="5" xfId="0" applyFont="1" applyFill="1" applyBorder="1"/>
    <xf numFmtId="0" fontId="0" fillId="0" borderId="6" xfId="0" applyFill="1" applyBorder="1"/>
    <xf numFmtId="0" fontId="0" fillId="0" borderId="0" xfId="0" applyBorder="1" applyAlignment="1">
      <alignment horizontal="center"/>
    </xf>
    <xf numFmtId="0" fontId="0" fillId="0" borderId="7" xfId="0" applyBorder="1" applyAlignment="1">
      <alignment horizontal="center"/>
    </xf>
    <xf numFmtId="0" fontId="0" fillId="0" borderId="15" xfId="0" applyFill="1" applyBorder="1"/>
    <xf numFmtId="0" fontId="0" fillId="0" borderId="3" xfId="0" applyFill="1" applyBorder="1"/>
    <xf numFmtId="0" fontId="0" fillId="0" borderId="3" xfId="0" applyBorder="1" applyAlignment="1">
      <alignment horizontal="center"/>
    </xf>
    <xf numFmtId="0" fontId="0" fillId="0" borderId="10" xfId="0" applyBorder="1" applyAlignment="1">
      <alignment horizontal="center"/>
    </xf>
    <xf numFmtId="0" fontId="3" fillId="0" borderId="4" xfId="0" applyFont="1" applyFill="1" applyBorder="1" applyAlignment="1">
      <alignment horizontal="left"/>
    </xf>
    <xf numFmtId="0" fontId="0" fillId="0" borderId="2" xfId="0" applyFill="1" applyBorder="1" applyAlignment="1">
      <alignment horizontal="left"/>
    </xf>
    <xf numFmtId="0" fontId="28" fillId="0" borderId="2" xfId="0" applyFont="1" applyFill="1" applyBorder="1" applyAlignment="1">
      <alignment horizontal="center"/>
    </xf>
    <xf numFmtId="0" fontId="28" fillId="0" borderId="5" xfId="0" applyFont="1" applyFill="1" applyBorder="1" applyAlignment="1">
      <alignment horizontal="center"/>
    </xf>
    <xf numFmtId="0" fontId="28" fillId="0" borderId="6" xfId="0" applyFont="1" applyFill="1" applyBorder="1" applyAlignment="1">
      <alignment horizontal="left"/>
    </xf>
    <xf numFmtId="0" fontId="28" fillId="0" borderId="0" xfId="0" applyFont="1" applyFill="1" applyBorder="1" applyAlignment="1">
      <alignment horizontal="left"/>
    </xf>
    <xf numFmtId="0" fontId="28" fillId="0" borderId="15" xfId="0" applyFont="1" applyFill="1" applyBorder="1" applyAlignment="1">
      <alignment horizontal="left"/>
    </xf>
    <xf numFmtId="0" fontId="28" fillId="0" borderId="3" xfId="0" applyFont="1" applyFill="1" applyBorder="1" applyAlignment="1">
      <alignment horizontal="left"/>
    </xf>
    <xf numFmtId="0" fontId="0" fillId="0" borderId="4" xfId="0" applyFill="1" applyBorder="1"/>
    <xf numFmtId="0" fontId="28" fillId="0" borderId="5" xfId="0" applyFont="1" applyFill="1" applyBorder="1" applyAlignment="1">
      <alignment horizontal="left"/>
    </xf>
    <xf numFmtId="0" fontId="0" fillId="0" borderId="0" xfId="0" applyAlignment="1">
      <alignment horizontal="left"/>
    </xf>
    <xf numFmtId="0" fontId="28" fillId="0" borderId="16" xfId="0" applyFont="1" applyFill="1" applyBorder="1" applyAlignment="1">
      <alignment horizontal="left"/>
    </xf>
    <xf numFmtId="0" fontId="28" fillId="0" borderId="16" xfId="0" applyFont="1" applyFill="1" applyBorder="1" applyAlignment="1">
      <alignment horizontal="center"/>
    </xf>
    <xf numFmtId="0" fontId="19" fillId="0" borderId="16" xfId="0" applyFont="1" applyFill="1" applyBorder="1" applyAlignment="1">
      <alignment horizontal="center"/>
    </xf>
    <xf numFmtId="0" fontId="45" fillId="0" borderId="0" xfId="0" applyFont="1" applyFill="1"/>
    <xf numFmtId="164" fontId="45" fillId="0" borderId="0" xfId="323" applyFont="1" applyFill="1"/>
    <xf numFmtId="0" fontId="0" fillId="0" borderId="0" xfId="0"/>
    <xf numFmtId="0" fontId="52" fillId="0" borderId="3" xfId="0" applyFont="1" applyFill="1" applyBorder="1"/>
    <xf numFmtId="167" fontId="0" fillId="0" borderId="3" xfId="0" applyNumberFormat="1" applyFill="1" applyBorder="1" applyAlignment="1">
      <alignment horizontal="center"/>
    </xf>
    <xf numFmtId="0" fontId="1" fillId="4" borderId="0" xfId="0" applyFont="1" applyFill="1"/>
    <xf numFmtId="0" fontId="28" fillId="3" borderId="0" xfId="0" applyFont="1" applyFill="1"/>
    <xf numFmtId="0" fontId="54" fillId="0" borderId="0" xfId="0" applyFont="1" applyFill="1"/>
  </cellXfs>
  <cellStyles count="456">
    <cellStyle name="Currency" xfId="323" builtinId="4"/>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5" builtinId="9" hidden="1"/>
    <cellStyle name="Followed Hyperlink" xfId="327" builtinId="9" hidden="1"/>
    <cellStyle name="Followed Hyperlink" xfId="329" builtinId="9" hidden="1"/>
    <cellStyle name="Followed Hyperlink" xfId="331" builtinId="9" hidden="1"/>
    <cellStyle name="Followed Hyperlink" xfId="333" builtinId="9" hidden="1"/>
    <cellStyle name="Followed Hyperlink" xfId="335" builtinId="9" hidden="1"/>
    <cellStyle name="Followed Hyperlink" xfId="337" builtinId="9" hidden="1"/>
    <cellStyle name="Followed Hyperlink" xfId="339" builtinId="9" hidden="1"/>
    <cellStyle name="Followed Hyperlink" xfId="341" builtinId="9" hidden="1"/>
    <cellStyle name="Followed Hyperlink" xfId="343" builtinId="9" hidden="1"/>
    <cellStyle name="Followed Hyperlink" xfId="345" builtinId="9" hidden="1"/>
    <cellStyle name="Followed Hyperlink" xfId="347" builtinId="9" hidden="1"/>
    <cellStyle name="Followed Hyperlink" xfId="349" builtinId="9" hidden="1"/>
    <cellStyle name="Followed Hyperlink" xfId="351" builtinId="9" hidden="1"/>
    <cellStyle name="Followed Hyperlink" xfId="353" builtinId="9" hidden="1"/>
    <cellStyle name="Followed Hyperlink" xfId="355" builtinId="9" hidden="1"/>
    <cellStyle name="Followed Hyperlink" xfId="357" builtinId="9" hidden="1"/>
    <cellStyle name="Followed Hyperlink" xfId="359" builtinId="9" hidden="1"/>
    <cellStyle name="Followed Hyperlink" xfId="361" builtinId="9" hidden="1"/>
    <cellStyle name="Followed Hyperlink" xfId="363" builtinId="9" hidden="1"/>
    <cellStyle name="Followed Hyperlink" xfId="365" builtinId="9" hidden="1"/>
    <cellStyle name="Followed Hyperlink" xfId="367" builtinId="9" hidden="1"/>
    <cellStyle name="Followed Hyperlink" xfId="369" builtinId="9" hidden="1"/>
    <cellStyle name="Followed Hyperlink" xfId="371" builtinId="9" hidden="1"/>
    <cellStyle name="Followed Hyperlink" xfId="373" builtinId="9" hidden="1"/>
    <cellStyle name="Followed Hyperlink" xfId="375" builtinId="9" hidden="1"/>
    <cellStyle name="Followed Hyperlink" xfId="377" builtinId="9" hidden="1"/>
    <cellStyle name="Followed Hyperlink" xfId="379" builtinId="9" hidden="1"/>
    <cellStyle name="Followed Hyperlink" xfId="381" builtinId="9" hidden="1"/>
    <cellStyle name="Followed Hyperlink" xfId="383" builtinId="9" hidden="1"/>
    <cellStyle name="Followed Hyperlink" xfId="385" builtinId="9" hidden="1"/>
    <cellStyle name="Followed Hyperlink" xfId="387" builtinId="9" hidden="1"/>
    <cellStyle name="Followed Hyperlink" xfId="389" builtinId="9" hidden="1"/>
    <cellStyle name="Followed Hyperlink" xfId="391" builtinId="9" hidden="1"/>
    <cellStyle name="Followed Hyperlink" xfId="393" builtinId="9" hidden="1"/>
    <cellStyle name="Followed Hyperlink" xfId="395" builtinId="9" hidden="1"/>
    <cellStyle name="Followed Hyperlink" xfId="397" builtinId="9" hidden="1"/>
    <cellStyle name="Followed Hyperlink" xfId="399" builtinId="9" hidden="1"/>
    <cellStyle name="Followed Hyperlink" xfId="401" builtinId="9" hidden="1"/>
    <cellStyle name="Followed Hyperlink" xfId="403" builtinId="9" hidden="1"/>
    <cellStyle name="Followed Hyperlink" xfId="405" builtinId="9" hidden="1"/>
    <cellStyle name="Followed Hyperlink" xfId="407" builtinId="9" hidden="1"/>
    <cellStyle name="Followed Hyperlink" xfId="409" builtinId="9" hidden="1"/>
    <cellStyle name="Followed Hyperlink" xfId="411" builtinId="9" hidden="1"/>
    <cellStyle name="Followed Hyperlink" xfId="413" builtinId="9" hidden="1"/>
    <cellStyle name="Followed Hyperlink" xfId="415" builtinId="9" hidden="1"/>
    <cellStyle name="Followed Hyperlink" xfId="417" builtinId="9" hidden="1"/>
    <cellStyle name="Followed Hyperlink" xfId="419" builtinId="9" hidden="1"/>
    <cellStyle name="Followed Hyperlink" xfId="421" builtinId="9" hidden="1"/>
    <cellStyle name="Followed Hyperlink" xfId="423" builtinId="9" hidden="1"/>
    <cellStyle name="Followed Hyperlink" xfId="425" builtinId="9" hidden="1"/>
    <cellStyle name="Followed Hyperlink" xfId="427" builtinId="9" hidden="1"/>
    <cellStyle name="Followed Hyperlink" xfId="429" builtinId="9" hidden="1"/>
    <cellStyle name="Followed Hyperlink" xfId="431" builtinId="9" hidden="1"/>
    <cellStyle name="Followed Hyperlink" xfId="433" builtinId="9" hidden="1"/>
    <cellStyle name="Followed Hyperlink" xfId="435" builtinId="9" hidden="1"/>
    <cellStyle name="Followed Hyperlink" xfId="437" builtinId="9" hidden="1"/>
    <cellStyle name="Followed Hyperlink" xfId="439" builtinId="9" hidden="1"/>
    <cellStyle name="Followed Hyperlink" xfId="441" builtinId="9" hidden="1"/>
    <cellStyle name="Followed Hyperlink" xfId="443" builtinId="9" hidden="1"/>
    <cellStyle name="Followed Hyperlink" xfId="445" builtinId="9" hidden="1"/>
    <cellStyle name="Followed Hyperlink" xfId="447" builtinId="9" hidden="1"/>
    <cellStyle name="Followed Hyperlink" xfId="449" builtinId="9" hidden="1"/>
    <cellStyle name="Followed Hyperlink" xfId="451" builtinId="9" hidden="1"/>
    <cellStyle name="Followed Hyperlink" xfId="453" builtinId="9" hidden="1"/>
    <cellStyle name="Followed Hyperlink" xfId="455"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4" builtinId="8" hidden="1"/>
    <cellStyle name="Hyperlink" xfId="326" builtinId="8" hidden="1"/>
    <cellStyle name="Hyperlink" xfId="328" builtinId="8" hidden="1"/>
    <cellStyle name="Hyperlink" xfId="330" builtinId="8" hidden="1"/>
    <cellStyle name="Hyperlink" xfId="332" builtinId="8" hidden="1"/>
    <cellStyle name="Hyperlink" xfId="334" builtinId="8" hidden="1"/>
    <cellStyle name="Hyperlink" xfId="336" builtinId="8" hidden="1"/>
    <cellStyle name="Hyperlink" xfId="338" builtinId="8" hidden="1"/>
    <cellStyle name="Hyperlink" xfId="340" builtinId="8" hidden="1"/>
    <cellStyle name="Hyperlink" xfId="342" builtinId="8" hidden="1"/>
    <cellStyle name="Hyperlink" xfId="344" builtinId="8" hidden="1"/>
    <cellStyle name="Hyperlink" xfId="346" builtinId="8" hidden="1"/>
    <cellStyle name="Hyperlink" xfId="348" builtinId="8" hidden="1"/>
    <cellStyle name="Hyperlink" xfId="350" builtinId="8" hidden="1"/>
    <cellStyle name="Hyperlink" xfId="352" builtinId="8" hidden="1"/>
    <cellStyle name="Hyperlink" xfId="354" builtinId="8" hidden="1"/>
    <cellStyle name="Hyperlink" xfId="356" builtinId="8" hidden="1"/>
    <cellStyle name="Hyperlink" xfId="358" builtinId="8" hidden="1"/>
    <cellStyle name="Hyperlink" xfId="360" builtinId="8" hidden="1"/>
    <cellStyle name="Hyperlink" xfId="362" builtinId="8" hidden="1"/>
    <cellStyle name="Hyperlink" xfId="364" builtinId="8" hidden="1"/>
    <cellStyle name="Hyperlink" xfId="366" builtinId="8" hidden="1"/>
    <cellStyle name="Hyperlink" xfId="368" builtinId="8" hidden="1"/>
    <cellStyle name="Hyperlink" xfId="370" builtinId="8" hidden="1"/>
    <cellStyle name="Hyperlink" xfId="372" builtinId="8" hidden="1"/>
    <cellStyle name="Hyperlink" xfId="374" builtinId="8" hidden="1"/>
    <cellStyle name="Hyperlink" xfId="376" builtinId="8" hidden="1"/>
    <cellStyle name="Hyperlink" xfId="378" builtinId="8" hidden="1"/>
    <cellStyle name="Hyperlink" xfId="380" builtinId="8" hidden="1"/>
    <cellStyle name="Hyperlink" xfId="382" builtinId="8" hidden="1"/>
    <cellStyle name="Hyperlink" xfId="384" builtinId="8" hidden="1"/>
    <cellStyle name="Hyperlink" xfId="386" builtinId="8" hidden="1"/>
    <cellStyle name="Hyperlink" xfId="388" builtinId="8" hidden="1"/>
    <cellStyle name="Hyperlink" xfId="390" builtinId="8" hidden="1"/>
    <cellStyle name="Hyperlink" xfId="392" builtinId="8" hidden="1"/>
    <cellStyle name="Hyperlink" xfId="394" builtinId="8" hidden="1"/>
    <cellStyle name="Hyperlink" xfId="396" builtinId="8" hidden="1"/>
    <cellStyle name="Hyperlink" xfId="398" builtinId="8" hidden="1"/>
    <cellStyle name="Hyperlink" xfId="400" builtinId="8" hidden="1"/>
    <cellStyle name="Hyperlink" xfId="402" builtinId="8" hidden="1"/>
    <cellStyle name="Hyperlink" xfId="404" builtinId="8" hidden="1"/>
    <cellStyle name="Hyperlink" xfId="406" builtinId="8" hidden="1"/>
    <cellStyle name="Hyperlink" xfId="408" builtinId="8" hidden="1"/>
    <cellStyle name="Hyperlink" xfId="410" builtinId="8" hidden="1"/>
    <cellStyle name="Hyperlink" xfId="412" builtinId="8" hidden="1"/>
    <cellStyle name="Hyperlink" xfId="414" builtinId="8" hidden="1"/>
    <cellStyle name="Hyperlink" xfId="416" builtinId="8" hidden="1"/>
    <cellStyle name="Hyperlink" xfId="418" builtinId="8" hidden="1"/>
    <cellStyle name="Hyperlink" xfId="420" builtinId="8" hidden="1"/>
    <cellStyle name="Hyperlink" xfId="422" builtinId="8" hidden="1"/>
    <cellStyle name="Hyperlink" xfId="424" builtinId="8" hidden="1"/>
    <cellStyle name="Hyperlink" xfId="426" builtinId="8" hidden="1"/>
    <cellStyle name="Hyperlink" xfId="428" builtinId="8" hidden="1"/>
    <cellStyle name="Hyperlink" xfId="430" builtinId="8" hidden="1"/>
    <cellStyle name="Hyperlink" xfId="432" builtinId="8" hidden="1"/>
    <cellStyle name="Hyperlink" xfId="434" builtinId="8" hidden="1"/>
    <cellStyle name="Hyperlink" xfId="436" builtinId="8" hidden="1"/>
    <cellStyle name="Hyperlink" xfId="438" builtinId="8" hidden="1"/>
    <cellStyle name="Hyperlink" xfId="440" builtinId="8" hidden="1"/>
    <cellStyle name="Hyperlink" xfId="442" builtinId="8" hidden="1"/>
    <cellStyle name="Hyperlink" xfId="444" builtinId="8" hidden="1"/>
    <cellStyle name="Hyperlink" xfId="446" builtinId="8" hidden="1"/>
    <cellStyle name="Hyperlink" xfId="448" builtinId="8" hidden="1"/>
    <cellStyle name="Hyperlink" xfId="450" builtinId="8" hidden="1"/>
    <cellStyle name="Hyperlink" xfId="452" builtinId="8" hidden="1"/>
    <cellStyle name="Hyperlink" xfId="454" builtinId="8" hidden="1"/>
    <cellStyle name="Normal" xfId="0" builtinId="0"/>
  </cellStyles>
  <dxfs count="0"/>
  <tableStyles count="0" defaultTableStyle="TableStyleMedium9" defaultPivotStyle="PivotStyleMedium4"/>
  <colors>
    <indexedColors>
      <rgbColor rgb="00000000"/>
      <rgbColor rgb="00FFFFFF"/>
      <rgbColor rgb="00DD0806"/>
      <rgbColor rgb="001FB714"/>
      <rgbColor rgb="000000D4"/>
      <rgbColor rgb="00FCF305"/>
      <rgbColor rgb="00F20884"/>
      <rgbColor rgb="0000ABEA"/>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5.xml"/><Relationship Id="rId13" Type="http://schemas.openxmlformats.org/officeDocument/2006/relationships/worksheet" Target="worksheets/sheet4.xml"/><Relationship Id="rId3" Type="http://schemas.openxmlformats.org/officeDocument/2006/relationships/worksheet" Target="worksheets/sheet3.xml"/><Relationship Id="rId7" Type="http://schemas.openxmlformats.org/officeDocument/2006/relationships/chartsheet" Target="chartsheets/sheet4.xml"/><Relationship Id="rId12" Type="http://schemas.openxmlformats.org/officeDocument/2006/relationships/chartsheet" Target="chartsheets/sheet9.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chartsheet" Target="chartsheets/sheet3.xml"/><Relationship Id="rId11" Type="http://schemas.openxmlformats.org/officeDocument/2006/relationships/chartsheet" Target="chartsheets/sheet8.xml"/><Relationship Id="rId5" Type="http://schemas.openxmlformats.org/officeDocument/2006/relationships/chartsheet" Target="chartsheets/sheet2.xml"/><Relationship Id="rId15" Type="http://schemas.openxmlformats.org/officeDocument/2006/relationships/styles" Target="styles.xml"/><Relationship Id="rId10" Type="http://schemas.openxmlformats.org/officeDocument/2006/relationships/chartsheet" Target="chartsheets/sheet7.xml"/><Relationship Id="rId4" Type="http://schemas.openxmlformats.org/officeDocument/2006/relationships/chartsheet" Target="chartsheets/sheet1.xml"/><Relationship Id="rId9" Type="http://schemas.openxmlformats.org/officeDocument/2006/relationships/chartsheet" Target="chartsheets/sheet6.xml"/><Relationship Id="rId14" Type="http://schemas.openxmlformats.org/officeDocument/2006/relationships/theme" Target="theme/theme1.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2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scatterChart>
        <c:scatterStyle val="lineMarker"/>
        <c:varyColors val="0"/>
        <c:ser>
          <c:idx val="0"/>
          <c:order val="0"/>
          <c:spPr>
            <a:ln w="47625">
              <a:noFill/>
            </a:ln>
          </c:spPr>
          <c:xVal>
            <c:numRef>
              <c:f>'Amphibole P-T calcs'!$EU$15:$EU$36</c:f>
              <c:numCache>
                <c:formatCode>General</c:formatCode>
                <c:ptCount val="22"/>
                <c:pt idx="0">
                  <c:v>6.0882528155923099</c:v>
                </c:pt>
                <c:pt idx="1">
                  <c:v>6.3995081510125091</c:v>
                </c:pt>
                <c:pt idx="2">
                  <c:v>5.8910518769630125</c:v>
                </c:pt>
                <c:pt idx="3">
                  <c:v>6.2893125722831646</c:v>
                </c:pt>
                <c:pt idx="4">
                  <c:v>6.4415890417734314</c:v>
                </c:pt>
                <c:pt idx="5">
                  <c:v>6.0891812540861254</c:v>
                </c:pt>
                <c:pt idx="6">
                  <c:v>6.2928561017780291</c:v>
                </c:pt>
                <c:pt idx="7">
                  <c:v>6.4552551063979378</c:v>
                </c:pt>
                <c:pt idx="8">
                  <c:v>6.1422236916067918</c:v>
                </c:pt>
                <c:pt idx="9">
                  <c:v>5.9363003639637091</c:v>
                </c:pt>
                <c:pt idx="10">
                  <c:v>5.9976399915045828</c:v>
                </c:pt>
                <c:pt idx="11">
                  <c:v>5.8626071425341255</c:v>
                </c:pt>
                <c:pt idx="12">
                  <c:v>6.0882528155923099</c:v>
                </c:pt>
                <c:pt idx="13">
                  <c:v>6.3995081510125091</c:v>
                </c:pt>
                <c:pt idx="14">
                  <c:v>5.8910518769630125</c:v>
                </c:pt>
                <c:pt idx="15">
                  <c:v>6.9276137664597037</c:v>
                </c:pt>
                <c:pt idx="16">
                  <c:v>7.0703929210356531</c:v>
                </c:pt>
                <c:pt idx="17">
                  <c:v>7.0703929210356531</c:v>
                </c:pt>
                <c:pt idx="18">
                  <c:v>7.007069109430887</c:v>
                </c:pt>
                <c:pt idx="19">
                  <c:v>6.9542871079555146</c:v>
                </c:pt>
                <c:pt idx="20">
                  <c:v>6.1498143908785199</c:v>
                </c:pt>
                <c:pt idx="21">
                  <c:v>7.2228905425347563</c:v>
                </c:pt>
              </c:numCache>
            </c:numRef>
          </c:xVal>
          <c:yVal>
            <c:numRef>
              <c:f>'Amphibole P-T calcs'!$FK$15:$FK$36</c:f>
              <c:numCache>
                <c:formatCode>General</c:formatCode>
                <c:ptCount val="22"/>
                <c:pt idx="0">
                  <c:v>0.63903568659135457</c:v>
                </c:pt>
                <c:pt idx="1">
                  <c:v>0.63002243657278023</c:v>
                </c:pt>
                <c:pt idx="2">
                  <c:v>0.61369319668939026</c:v>
                </c:pt>
                <c:pt idx="3">
                  <c:v>0.64836136957821477</c:v>
                </c:pt>
                <c:pt idx="4">
                  <c:v>0.65291302250773342</c:v>
                </c:pt>
                <c:pt idx="5">
                  <c:v>0.62653104198151166</c:v>
                </c:pt>
                <c:pt idx="6">
                  <c:v>0.63923299132539946</c:v>
                </c:pt>
                <c:pt idx="7">
                  <c:v>0.6406231609582812</c:v>
                </c:pt>
                <c:pt idx="8">
                  <c:v>0.62808324042500252</c:v>
                </c:pt>
                <c:pt idx="9">
                  <c:v>0.65556148798190161</c:v>
                </c:pt>
                <c:pt idx="10">
                  <c:v>0.65604005024245504</c:v>
                </c:pt>
                <c:pt idx="11">
                  <c:v>0.64802453224045165</c:v>
                </c:pt>
                <c:pt idx="12">
                  <c:v>0.63903568659135457</c:v>
                </c:pt>
                <c:pt idx="13">
                  <c:v>0.63002243657278023</c:v>
                </c:pt>
                <c:pt idx="14">
                  <c:v>0.61369319668939026</c:v>
                </c:pt>
                <c:pt idx="15">
                  <c:v>0.66426530357034475</c:v>
                </c:pt>
                <c:pt idx="16">
                  <c:v>0.68764703391009097</c:v>
                </c:pt>
                <c:pt idx="17">
                  <c:v>0.68764703391009097</c:v>
                </c:pt>
                <c:pt idx="18">
                  <c:v>0.66982549845682704</c:v>
                </c:pt>
                <c:pt idx="19">
                  <c:v>0.66595327904638391</c:v>
                </c:pt>
                <c:pt idx="20">
                  <c:v>0.80049721160062215</c:v>
                </c:pt>
                <c:pt idx="21">
                  <c:v>0.76308400952972189</c:v>
                </c:pt>
              </c:numCache>
            </c:numRef>
          </c:yVal>
          <c:smooth val="0"/>
          <c:extLst>
            <c:ext xmlns:c16="http://schemas.microsoft.com/office/drawing/2014/chart" uri="{C3380CC4-5D6E-409C-BE32-E72D297353CC}">
              <c16:uniqueId val="{00000000-39E6-0148-B2C2-D942CD4E09CA}"/>
            </c:ext>
          </c:extLst>
        </c:ser>
        <c:dLbls>
          <c:showLegendKey val="0"/>
          <c:showVal val="0"/>
          <c:showCatName val="0"/>
          <c:showSerName val="0"/>
          <c:showPercent val="0"/>
          <c:showBubbleSize val="0"/>
        </c:dLbls>
        <c:axId val="1811068376"/>
        <c:axId val="1891459400"/>
      </c:scatterChart>
      <c:valAx>
        <c:axId val="1811068376"/>
        <c:scaling>
          <c:orientation val="minMax"/>
        </c:scaling>
        <c:delete val="0"/>
        <c:axPos val="b"/>
        <c:numFmt formatCode="General" sourceLinked="1"/>
        <c:majorTickMark val="out"/>
        <c:minorTickMark val="none"/>
        <c:tickLblPos val="nextTo"/>
        <c:crossAx val="1891459400"/>
        <c:crosses val="autoZero"/>
        <c:crossBetween val="midCat"/>
      </c:valAx>
      <c:valAx>
        <c:axId val="1891459400"/>
        <c:scaling>
          <c:orientation val="minMax"/>
        </c:scaling>
        <c:delete val="0"/>
        <c:axPos val="l"/>
        <c:majorGridlines/>
        <c:numFmt formatCode="General" sourceLinked="1"/>
        <c:majorTickMark val="out"/>
        <c:minorTickMark val="none"/>
        <c:tickLblPos val="nextTo"/>
        <c:crossAx val="1811068376"/>
        <c:crosses val="autoZero"/>
        <c:crossBetween val="midCat"/>
      </c:valAx>
    </c:plotArea>
    <c:legend>
      <c:legendPos val="r"/>
      <c:overlay val="0"/>
    </c:legend>
    <c:plotVisOnly val="1"/>
    <c:dispBlanksAs val="gap"/>
    <c:showDLblsOverMax val="0"/>
  </c:chart>
  <c:printSettings>
    <c:headerFooter/>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12563229462033657"/>
          <c:y val="6.2687541004819075E-2"/>
          <c:w val="0.85049741092758913"/>
          <c:h val="0.80551166549025843"/>
        </c:manualLayout>
      </c:layout>
      <c:scatterChart>
        <c:scatterStyle val="lineMarker"/>
        <c:varyColors val="0"/>
        <c:ser>
          <c:idx val="0"/>
          <c:order val="0"/>
          <c:spPr>
            <a:ln w="47625">
              <a:noFill/>
            </a:ln>
          </c:spPr>
          <c:marker>
            <c:symbol val="circle"/>
            <c:size val="9"/>
            <c:spPr>
              <a:noFill/>
              <a:ln>
                <a:solidFill>
                  <a:schemeClr val="tx1"/>
                </a:solidFill>
              </a:ln>
            </c:spPr>
          </c:marker>
          <c:xVal>
            <c:numRef>
              <c:f>'Amphibole P-T calcs'!$EU$15:$EU$36</c:f>
              <c:numCache>
                <c:formatCode>General</c:formatCode>
                <c:ptCount val="22"/>
                <c:pt idx="0">
                  <c:v>6.0882528155923099</c:v>
                </c:pt>
                <c:pt idx="1">
                  <c:v>6.3995081510125091</c:v>
                </c:pt>
                <c:pt idx="2">
                  <c:v>5.8910518769630125</c:v>
                </c:pt>
                <c:pt idx="3">
                  <c:v>6.2893125722831646</c:v>
                </c:pt>
                <c:pt idx="4">
                  <c:v>6.4415890417734314</c:v>
                </c:pt>
                <c:pt idx="5">
                  <c:v>6.0891812540861254</c:v>
                </c:pt>
                <c:pt idx="6">
                  <c:v>6.2928561017780291</c:v>
                </c:pt>
                <c:pt idx="7">
                  <c:v>6.4552551063979378</c:v>
                </c:pt>
                <c:pt idx="8">
                  <c:v>6.1422236916067918</c:v>
                </c:pt>
                <c:pt idx="9">
                  <c:v>5.9363003639637091</c:v>
                </c:pt>
                <c:pt idx="10">
                  <c:v>5.9976399915045828</c:v>
                </c:pt>
                <c:pt idx="11">
                  <c:v>5.8626071425341255</c:v>
                </c:pt>
                <c:pt idx="12">
                  <c:v>6.0882528155923099</c:v>
                </c:pt>
                <c:pt idx="13">
                  <c:v>6.3995081510125091</c:v>
                </c:pt>
                <c:pt idx="14">
                  <c:v>5.8910518769630125</c:v>
                </c:pt>
                <c:pt idx="15">
                  <c:v>6.9276137664597037</c:v>
                </c:pt>
                <c:pt idx="16">
                  <c:v>7.0703929210356531</c:v>
                </c:pt>
                <c:pt idx="17">
                  <c:v>7.0703929210356531</c:v>
                </c:pt>
                <c:pt idx="18">
                  <c:v>7.007069109430887</c:v>
                </c:pt>
                <c:pt idx="19">
                  <c:v>6.9542871079555146</c:v>
                </c:pt>
                <c:pt idx="20">
                  <c:v>6.1498143908785199</c:v>
                </c:pt>
                <c:pt idx="21">
                  <c:v>7.2228905425347563</c:v>
                </c:pt>
              </c:numCache>
            </c:numRef>
          </c:xVal>
          <c:yVal>
            <c:numRef>
              <c:f>'Amphibole P-T calcs'!$FK$15:$FK$36</c:f>
              <c:numCache>
                <c:formatCode>General</c:formatCode>
                <c:ptCount val="22"/>
                <c:pt idx="0">
                  <c:v>0.63903568659135457</c:v>
                </c:pt>
                <c:pt idx="1">
                  <c:v>0.63002243657278023</c:v>
                </c:pt>
                <c:pt idx="2">
                  <c:v>0.61369319668939026</c:v>
                </c:pt>
                <c:pt idx="3">
                  <c:v>0.64836136957821477</c:v>
                </c:pt>
                <c:pt idx="4">
                  <c:v>0.65291302250773342</c:v>
                </c:pt>
                <c:pt idx="5">
                  <c:v>0.62653104198151166</c:v>
                </c:pt>
                <c:pt idx="6">
                  <c:v>0.63923299132539946</c:v>
                </c:pt>
                <c:pt idx="7">
                  <c:v>0.6406231609582812</c:v>
                </c:pt>
                <c:pt idx="8">
                  <c:v>0.62808324042500252</c:v>
                </c:pt>
                <c:pt idx="9">
                  <c:v>0.65556148798190161</c:v>
                </c:pt>
                <c:pt idx="10">
                  <c:v>0.65604005024245504</c:v>
                </c:pt>
                <c:pt idx="11">
                  <c:v>0.64802453224045165</c:v>
                </c:pt>
                <c:pt idx="12">
                  <c:v>0.63903568659135457</c:v>
                </c:pt>
                <c:pt idx="13">
                  <c:v>0.63002243657278023</c:v>
                </c:pt>
                <c:pt idx="14">
                  <c:v>0.61369319668939026</c:v>
                </c:pt>
                <c:pt idx="15">
                  <c:v>0.66426530357034475</c:v>
                </c:pt>
                <c:pt idx="16">
                  <c:v>0.68764703391009097</c:v>
                </c:pt>
                <c:pt idx="17">
                  <c:v>0.68764703391009097</c:v>
                </c:pt>
                <c:pt idx="18">
                  <c:v>0.66982549845682704</c:v>
                </c:pt>
                <c:pt idx="19">
                  <c:v>0.66595327904638391</c:v>
                </c:pt>
                <c:pt idx="20">
                  <c:v>0.80049721160062215</c:v>
                </c:pt>
                <c:pt idx="21">
                  <c:v>0.76308400952972189</c:v>
                </c:pt>
              </c:numCache>
            </c:numRef>
          </c:yVal>
          <c:smooth val="0"/>
          <c:extLst>
            <c:ext xmlns:c16="http://schemas.microsoft.com/office/drawing/2014/chart" uri="{C3380CC4-5D6E-409C-BE32-E72D297353CC}">
              <c16:uniqueId val="{00000000-9D2C-7D4C-AB7C-7B0C61AA3116}"/>
            </c:ext>
          </c:extLst>
        </c:ser>
        <c:ser>
          <c:idx val="1"/>
          <c:order val="1"/>
          <c:spPr>
            <a:ln w="12700">
              <a:solidFill>
                <a:schemeClr val="tx1"/>
              </a:solidFill>
            </a:ln>
          </c:spPr>
          <c:marker>
            <c:symbol val="none"/>
          </c:marker>
          <c:xVal>
            <c:numRef>
              <c:f>'End-member comp calcs'!$AU$2:$AU$5</c:f>
              <c:numCache>
                <c:formatCode>General</c:formatCode>
                <c:ptCount val="4"/>
                <c:pt idx="0">
                  <c:v>7.5</c:v>
                </c:pt>
                <c:pt idx="1">
                  <c:v>7.5</c:v>
                </c:pt>
                <c:pt idx="2">
                  <c:v>7.5</c:v>
                </c:pt>
                <c:pt idx="3">
                  <c:v>7.5</c:v>
                </c:pt>
              </c:numCache>
            </c:numRef>
          </c:xVal>
          <c:yVal>
            <c:numRef>
              <c:f>'End-member comp calcs'!$AV$2:$AV$5</c:f>
              <c:numCache>
                <c:formatCode>General</c:formatCode>
                <c:ptCount val="4"/>
                <c:pt idx="0">
                  <c:v>0</c:v>
                </c:pt>
                <c:pt idx="1">
                  <c:v>0.5</c:v>
                </c:pt>
                <c:pt idx="2">
                  <c:v>0.9</c:v>
                </c:pt>
                <c:pt idx="3">
                  <c:v>1</c:v>
                </c:pt>
              </c:numCache>
            </c:numRef>
          </c:yVal>
          <c:smooth val="0"/>
          <c:extLst>
            <c:ext xmlns:c16="http://schemas.microsoft.com/office/drawing/2014/chart" uri="{C3380CC4-5D6E-409C-BE32-E72D297353CC}">
              <c16:uniqueId val="{00000001-9D2C-7D4C-AB7C-7B0C61AA3116}"/>
            </c:ext>
          </c:extLst>
        </c:ser>
        <c:ser>
          <c:idx val="2"/>
          <c:order val="2"/>
          <c:spPr>
            <a:ln w="12700">
              <a:solidFill>
                <a:schemeClr val="tx1"/>
              </a:solidFill>
            </a:ln>
          </c:spPr>
          <c:marker>
            <c:symbol val="none"/>
          </c:marker>
          <c:xVal>
            <c:numRef>
              <c:f>'End-member comp calcs'!$AT$2:$AT$5</c:f>
              <c:numCache>
                <c:formatCode>General</c:formatCode>
                <c:ptCount val="4"/>
                <c:pt idx="0">
                  <c:v>6.5</c:v>
                </c:pt>
                <c:pt idx="1">
                  <c:v>6.5</c:v>
                </c:pt>
                <c:pt idx="2">
                  <c:v>6.5</c:v>
                </c:pt>
                <c:pt idx="3">
                  <c:v>6.5</c:v>
                </c:pt>
              </c:numCache>
            </c:numRef>
          </c:xVal>
          <c:yVal>
            <c:numRef>
              <c:f>'End-member comp calcs'!$AV$2:$AV$5</c:f>
              <c:numCache>
                <c:formatCode>General</c:formatCode>
                <c:ptCount val="4"/>
                <c:pt idx="0">
                  <c:v>0</c:v>
                </c:pt>
                <c:pt idx="1">
                  <c:v>0.5</c:v>
                </c:pt>
                <c:pt idx="2">
                  <c:v>0.9</c:v>
                </c:pt>
                <c:pt idx="3">
                  <c:v>1</c:v>
                </c:pt>
              </c:numCache>
            </c:numRef>
          </c:yVal>
          <c:smooth val="0"/>
          <c:extLst>
            <c:ext xmlns:c16="http://schemas.microsoft.com/office/drawing/2014/chart" uri="{C3380CC4-5D6E-409C-BE32-E72D297353CC}">
              <c16:uniqueId val="{00000002-9D2C-7D4C-AB7C-7B0C61AA3116}"/>
            </c:ext>
          </c:extLst>
        </c:ser>
        <c:ser>
          <c:idx val="3"/>
          <c:order val="3"/>
          <c:spPr>
            <a:ln w="12700">
              <a:solidFill>
                <a:schemeClr val="tx1"/>
              </a:solidFill>
            </a:ln>
          </c:spPr>
          <c:marker>
            <c:symbol val="none"/>
          </c:marker>
          <c:xVal>
            <c:numRef>
              <c:f>'End-member comp calcs'!$AX$2:$AX$4</c:f>
              <c:numCache>
                <c:formatCode>General</c:formatCode>
                <c:ptCount val="3"/>
                <c:pt idx="0">
                  <c:v>5.5</c:v>
                </c:pt>
                <c:pt idx="1">
                  <c:v>7.75</c:v>
                </c:pt>
                <c:pt idx="2">
                  <c:v>8</c:v>
                </c:pt>
              </c:numCache>
            </c:numRef>
          </c:xVal>
          <c:yVal>
            <c:numRef>
              <c:f>'End-member comp calcs'!$AY$2:$AY$4</c:f>
              <c:numCache>
                <c:formatCode>General</c:formatCode>
                <c:ptCount val="3"/>
                <c:pt idx="0">
                  <c:v>0.5</c:v>
                </c:pt>
                <c:pt idx="1">
                  <c:v>0.5</c:v>
                </c:pt>
                <c:pt idx="2">
                  <c:v>0.5</c:v>
                </c:pt>
              </c:numCache>
            </c:numRef>
          </c:yVal>
          <c:smooth val="0"/>
          <c:extLst>
            <c:ext xmlns:c16="http://schemas.microsoft.com/office/drawing/2014/chart" uri="{C3380CC4-5D6E-409C-BE32-E72D297353CC}">
              <c16:uniqueId val="{00000003-9D2C-7D4C-AB7C-7B0C61AA3116}"/>
            </c:ext>
          </c:extLst>
        </c:ser>
        <c:ser>
          <c:idx val="4"/>
          <c:order val="4"/>
          <c:spPr>
            <a:ln w="12700">
              <a:solidFill>
                <a:schemeClr val="tx1"/>
              </a:solidFill>
            </a:ln>
          </c:spPr>
          <c:marker>
            <c:symbol val="none"/>
          </c:marker>
          <c:xVal>
            <c:numRef>
              <c:f>'End-member comp calcs'!$AZ$2:$AZ$4</c:f>
              <c:numCache>
                <c:formatCode>General</c:formatCode>
                <c:ptCount val="3"/>
                <c:pt idx="0">
                  <c:v>7.5</c:v>
                </c:pt>
                <c:pt idx="1">
                  <c:v>7.75</c:v>
                </c:pt>
                <c:pt idx="2">
                  <c:v>8</c:v>
                </c:pt>
              </c:numCache>
            </c:numRef>
          </c:xVal>
          <c:yVal>
            <c:numRef>
              <c:f>'End-member comp calcs'!$BA$2:$BA$4</c:f>
              <c:numCache>
                <c:formatCode>General</c:formatCode>
                <c:ptCount val="3"/>
                <c:pt idx="0">
                  <c:v>0.9</c:v>
                </c:pt>
                <c:pt idx="1">
                  <c:v>0.9</c:v>
                </c:pt>
                <c:pt idx="2">
                  <c:v>0.9</c:v>
                </c:pt>
              </c:numCache>
            </c:numRef>
          </c:yVal>
          <c:smooth val="0"/>
          <c:extLst>
            <c:ext xmlns:c16="http://schemas.microsoft.com/office/drawing/2014/chart" uri="{C3380CC4-5D6E-409C-BE32-E72D297353CC}">
              <c16:uniqueId val="{00000004-9D2C-7D4C-AB7C-7B0C61AA3116}"/>
            </c:ext>
          </c:extLst>
        </c:ser>
        <c:dLbls>
          <c:showLegendKey val="0"/>
          <c:showVal val="0"/>
          <c:showCatName val="0"/>
          <c:showSerName val="0"/>
          <c:showPercent val="0"/>
          <c:showBubbleSize val="0"/>
        </c:dLbls>
        <c:axId val="1895201368"/>
        <c:axId val="1895174984"/>
      </c:scatterChart>
      <c:valAx>
        <c:axId val="1895201368"/>
        <c:scaling>
          <c:orientation val="maxMin"/>
          <c:max val="8"/>
          <c:min val="5.5"/>
        </c:scaling>
        <c:delete val="0"/>
        <c:axPos val="b"/>
        <c:title>
          <c:tx>
            <c:rich>
              <a:bodyPr/>
              <a:lstStyle/>
              <a:p>
                <a:pPr>
                  <a:defRPr sz="2400" b="0"/>
                </a:pPr>
                <a:r>
                  <a:rPr lang="en-US" sz="2400" b="0"/>
                  <a:t>Si (apfu)</a:t>
                </a:r>
              </a:p>
            </c:rich>
          </c:tx>
          <c:overlay val="0"/>
        </c:title>
        <c:numFmt formatCode="General" sourceLinked="1"/>
        <c:majorTickMark val="out"/>
        <c:minorTickMark val="none"/>
        <c:tickLblPos val="nextTo"/>
        <c:txPr>
          <a:bodyPr/>
          <a:lstStyle/>
          <a:p>
            <a:pPr>
              <a:defRPr sz="1600"/>
            </a:pPr>
            <a:endParaRPr lang="en-US"/>
          </a:p>
        </c:txPr>
        <c:crossAx val="1895174984"/>
        <c:crosses val="autoZero"/>
        <c:crossBetween val="midCat"/>
      </c:valAx>
      <c:valAx>
        <c:axId val="1895174984"/>
        <c:scaling>
          <c:orientation val="minMax"/>
          <c:max val="1"/>
        </c:scaling>
        <c:delete val="0"/>
        <c:axPos val="l"/>
        <c:title>
          <c:tx>
            <c:rich>
              <a:bodyPr rot="-5400000" vert="horz"/>
              <a:lstStyle/>
              <a:p>
                <a:pPr>
                  <a:defRPr sz="2400" b="0"/>
                </a:pPr>
                <a:r>
                  <a:rPr lang="en-US" sz="2400" b="0"/>
                  <a:t>Mg/(Mg + Fe)</a:t>
                </a:r>
              </a:p>
            </c:rich>
          </c:tx>
          <c:overlay val="0"/>
        </c:title>
        <c:numFmt formatCode="General" sourceLinked="1"/>
        <c:majorTickMark val="out"/>
        <c:minorTickMark val="none"/>
        <c:tickLblPos val="nextTo"/>
        <c:txPr>
          <a:bodyPr/>
          <a:lstStyle/>
          <a:p>
            <a:pPr>
              <a:defRPr sz="1600"/>
            </a:pPr>
            <a:endParaRPr lang="en-US"/>
          </a:p>
        </c:txPr>
        <c:crossAx val="1895201368"/>
        <c:crosses val="max"/>
        <c:crossBetween val="midCat"/>
      </c:valAx>
      <c:spPr>
        <a:noFill/>
        <a:ln>
          <a:solidFill>
            <a:schemeClr val="tx1"/>
          </a:solidFill>
        </a:ln>
      </c:spPr>
    </c:plotArea>
    <c:plotVisOnly val="1"/>
    <c:dispBlanksAs val="gap"/>
    <c:showDLblsOverMax val="0"/>
  </c:chart>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5.18169566298484E-2"/>
          <c:y val="0"/>
          <c:w val="0.853432036961286"/>
          <c:h val="0.85869565217391297"/>
        </c:manualLayout>
      </c:layout>
      <c:scatterChart>
        <c:scatterStyle val="lineMarker"/>
        <c:varyColors val="0"/>
        <c:ser>
          <c:idx val="0"/>
          <c:order val="0"/>
          <c:spPr>
            <a:ln w="25400">
              <a:solidFill>
                <a:schemeClr val="tx1"/>
              </a:solidFill>
            </a:ln>
          </c:spPr>
          <c:marker>
            <c:symbol val="none"/>
          </c:marker>
          <c:xVal>
            <c:numRef>
              <c:f>'Amph exchg components'!$AI$5:$AI$9</c:f>
              <c:numCache>
                <c:formatCode>General</c:formatCode>
                <c:ptCount val="5"/>
                <c:pt idx="0">
                  <c:v>0</c:v>
                </c:pt>
                <c:pt idx="1">
                  <c:v>1.1547005383792515</c:v>
                </c:pt>
                <c:pt idx="2">
                  <c:v>0.57735026918962573</c:v>
                </c:pt>
                <c:pt idx="3">
                  <c:v>0.57735026918962573</c:v>
                </c:pt>
                <c:pt idx="4">
                  <c:v>0</c:v>
                </c:pt>
              </c:numCache>
            </c:numRef>
          </c:xVal>
          <c:yVal>
            <c:numRef>
              <c:f>'Amph exchg components'!$AJ$5:$AJ$9</c:f>
              <c:numCache>
                <c:formatCode>General</c:formatCode>
                <c:ptCount val="5"/>
                <c:pt idx="0">
                  <c:v>0</c:v>
                </c:pt>
                <c:pt idx="1">
                  <c:v>0</c:v>
                </c:pt>
                <c:pt idx="2">
                  <c:v>1</c:v>
                </c:pt>
                <c:pt idx="3">
                  <c:v>1</c:v>
                </c:pt>
                <c:pt idx="4">
                  <c:v>0</c:v>
                </c:pt>
              </c:numCache>
            </c:numRef>
          </c:yVal>
          <c:smooth val="0"/>
          <c:extLst>
            <c:ext xmlns:c16="http://schemas.microsoft.com/office/drawing/2014/chart" uri="{C3380CC4-5D6E-409C-BE32-E72D297353CC}">
              <c16:uniqueId val="{00000000-32EE-7041-A57B-1DFAD61ABE28}"/>
            </c:ext>
          </c:extLst>
        </c:ser>
        <c:ser>
          <c:idx val="1"/>
          <c:order val="1"/>
          <c:spPr>
            <a:ln>
              <a:noFill/>
            </a:ln>
          </c:spPr>
          <c:marker>
            <c:symbol val="square"/>
            <c:size val="15"/>
          </c:marker>
          <c:xVal>
            <c:numRef>
              <c:f>'Amph exchg components'!$AB$15:$AB$36</c:f>
              <c:numCache>
                <c:formatCode>General</c:formatCode>
                <c:ptCount val="22"/>
                <c:pt idx="0">
                  <c:v>0.21991527603259065</c:v>
                </c:pt>
                <c:pt idx="1">
                  <c:v>0.22701394270325331</c:v>
                </c:pt>
                <c:pt idx="2">
                  <c:v>0.20182048846461464</c:v>
                </c:pt>
                <c:pt idx="3">
                  <c:v>0.22144923354823423</c:v>
                </c:pt>
                <c:pt idx="4">
                  <c:v>0.22740221182281584</c:v>
                </c:pt>
                <c:pt idx="5">
                  <c:v>0.21243749296525249</c:v>
                </c:pt>
                <c:pt idx="6">
                  <c:v>0.22528890927106193</c:v>
                </c:pt>
                <c:pt idx="7">
                  <c:v>0.23410930314404407</c:v>
                </c:pt>
                <c:pt idx="8">
                  <c:v>0.22126505351744125</c:v>
                </c:pt>
                <c:pt idx="9">
                  <c:v>0.25088990583732163</c:v>
                </c:pt>
                <c:pt idx="10">
                  <c:v>0.24432950679970933</c:v>
                </c:pt>
                <c:pt idx="11">
                  <c:v>0.26202578957810974</c:v>
                </c:pt>
                <c:pt idx="12">
                  <c:v>0.21991527603259065</c:v>
                </c:pt>
                <c:pt idx="13">
                  <c:v>0.22701394270325331</c:v>
                </c:pt>
                <c:pt idx="14">
                  <c:v>0.20182048846461464</c:v>
                </c:pt>
                <c:pt idx="15">
                  <c:v>0.13396718401089625</c:v>
                </c:pt>
                <c:pt idx="16">
                  <c:v>0.11972623382285037</c:v>
                </c:pt>
                <c:pt idx="17">
                  <c:v>0.11972623382285037</c:v>
                </c:pt>
                <c:pt idx="18">
                  <c:v>0.11930993934728049</c:v>
                </c:pt>
                <c:pt idx="19">
                  <c:v>0.10651801128689374</c:v>
                </c:pt>
                <c:pt idx="20">
                  <c:v>0.26545918491045517</c:v>
                </c:pt>
                <c:pt idx="21">
                  <c:v>-1.3568649574882503E-2</c:v>
                </c:pt>
              </c:numCache>
            </c:numRef>
          </c:xVal>
          <c:yVal>
            <c:numRef>
              <c:f>'Amph exchg components'!$AC$15:$AC$36</c:f>
              <c:numCache>
                <c:formatCode>General</c:formatCode>
                <c:ptCount val="22"/>
                <c:pt idx="0">
                  <c:v>5.3435622403021472E-2</c:v>
                </c:pt>
                <c:pt idx="1">
                  <c:v>4.7306200461037617E-2</c:v>
                </c:pt>
                <c:pt idx="2">
                  <c:v>6.0250999144948449E-2</c:v>
                </c:pt>
                <c:pt idx="3">
                  <c:v>5.5998434682348393E-2</c:v>
                </c:pt>
                <c:pt idx="4">
                  <c:v>5.2738080817375535E-2</c:v>
                </c:pt>
                <c:pt idx="5">
                  <c:v>6.026260144581147E-2</c:v>
                </c:pt>
                <c:pt idx="6">
                  <c:v>5.751751735728762E-2</c:v>
                </c:pt>
                <c:pt idx="7">
                  <c:v>4.8309013130813802E-2</c:v>
                </c:pt>
                <c:pt idx="8">
                  <c:v>6.2980532503711634E-2</c:v>
                </c:pt>
                <c:pt idx="9">
                  <c:v>6.656910416658289E-2</c:v>
                </c:pt>
                <c:pt idx="10">
                  <c:v>6.3171655994730208E-2</c:v>
                </c:pt>
                <c:pt idx="11">
                  <c:v>6.9265720783096632E-2</c:v>
                </c:pt>
                <c:pt idx="12">
                  <c:v>5.3435622403021472E-2</c:v>
                </c:pt>
                <c:pt idx="13">
                  <c:v>4.7306200461037617E-2</c:v>
                </c:pt>
                <c:pt idx="14">
                  <c:v>6.0250999144948449E-2</c:v>
                </c:pt>
                <c:pt idx="15">
                  <c:v>1.1278868065125682E-2</c:v>
                </c:pt>
                <c:pt idx="16">
                  <c:v>1.0509846337854171E-2</c:v>
                </c:pt>
                <c:pt idx="17">
                  <c:v>1.0509846337854171E-2</c:v>
                </c:pt>
                <c:pt idx="18">
                  <c:v>1.162488380205509E-2</c:v>
                </c:pt>
                <c:pt idx="19">
                  <c:v>1.1624351244130979E-2</c:v>
                </c:pt>
                <c:pt idx="20">
                  <c:v>1.7419326427391212E-2</c:v>
                </c:pt>
                <c:pt idx="21">
                  <c:v>9.5455238574826591E-4</c:v>
                </c:pt>
              </c:numCache>
            </c:numRef>
          </c:yVal>
          <c:smooth val="0"/>
          <c:extLst>
            <c:ext xmlns:c16="http://schemas.microsoft.com/office/drawing/2014/chart" uri="{C3380CC4-5D6E-409C-BE32-E72D297353CC}">
              <c16:uniqueId val="{00000001-32EE-7041-A57B-1DFAD61ABE28}"/>
            </c:ext>
          </c:extLst>
        </c:ser>
        <c:ser>
          <c:idx val="2"/>
          <c:order val="2"/>
          <c:spPr>
            <a:ln>
              <a:noFill/>
            </a:ln>
          </c:spPr>
          <c:marker>
            <c:symbol val="triangle"/>
            <c:size val="16"/>
            <c:spPr>
              <a:solidFill>
                <a:srgbClr val="FFFF00"/>
              </a:solidFill>
              <a:ln>
                <a:solidFill>
                  <a:schemeClr val="tx1"/>
                </a:solidFill>
              </a:ln>
            </c:spPr>
          </c:marker>
          <c:xVal>
            <c:numRef>
              <c:f>'End-member comp calcs'!$AB$15:$AB$26</c:f>
              <c:numCache>
                <c:formatCode>General</c:formatCode>
                <c:ptCount val="12"/>
                <c:pt idx="0">
                  <c:v>0.92376043070340119</c:v>
                </c:pt>
                <c:pt idx="1">
                  <c:v>0.76980035891950094</c:v>
                </c:pt>
                <c:pt idx="2">
                  <c:v>0.57735026918962573</c:v>
                </c:pt>
                <c:pt idx="3">
                  <c:v>0</c:v>
                </c:pt>
                <c:pt idx="4">
                  <c:v>0.57735026918962573</c:v>
                </c:pt>
                <c:pt idx="5">
                  <c:v>0</c:v>
                </c:pt>
                <c:pt idx="6">
                  <c:v>0</c:v>
                </c:pt>
                <c:pt idx="7">
                  <c:v>0</c:v>
                </c:pt>
                <c:pt idx="8">
                  <c:v>0</c:v>
                </c:pt>
                <c:pt idx="9">
                  <c:v>1.1547005383792515</c:v>
                </c:pt>
                <c:pt idx="10">
                  <c:v>0.8660254037844386</c:v>
                </c:pt>
                <c:pt idx="11">
                  <c:v>0.57735026918962573</c:v>
                </c:pt>
              </c:numCache>
            </c:numRef>
          </c:xVal>
          <c:yVal>
            <c:numRef>
              <c:f>'End-member comp calcs'!$AC$15:$AC$26</c:f>
              <c:numCache>
                <c:formatCode>General</c:formatCode>
                <c:ptCount val="12"/>
                <c:pt idx="0">
                  <c:v>0</c:v>
                </c:pt>
                <c:pt idx="1">
                  <c:v>0</c:v>
                </c:pt>
                <c:pt idx="2">
                  <c:v>0.33333333333333331</c:v>
                </c:pt>
                <c:pt idx="3">
                  <c:v>0</c:v>
                </c:pt>
                <c:pt idx="4">
                  <c:v>0</c:v>
                </c:pt>
                <c:pt idx="5">
                  <c:v>0</c:v>
                </c:pt>
                <c:pt idx="6">
                  <c:v>0</c:v>
                </c:pt>
                <c:pt idx="7">
                  <c:v>0</c:v>
                </c:pt>
                <c:pt idx="8">
                  <c:v>0</c:v>
                </c:pt>
                <c:pt idx="9">
                  <c:v>0</c:v>
                </c:pt>
                <c:pt idx="10">
                  <c:v>0.5</c:v>
                </c:pt>
                <c:pt idx="11">
                  <c:v>0</c:v>
                </c:pt>
              </c:numCache>
            </c:numRef>
          </c:yVal>
          <c:smooth val="0"/>
          <c:extLst>
            <c:ext xmlns:c16="http://schemas.microsoft.com/office/drawing/2014/chart" uri="{C3380CC4-5D6E-409C-BE32-E72D297353CC}">
              <c16:uniqueId val="{00000002-32EE-7041-A57B-1DFAD61ABE28}"/>
            </c:ext>
          </c:extLst>
        </c:ser>
        <c:dLbls>
          <c:showLegendKey val="0"/>
          <c:showVal val="0"/>
          <c:showCatName val="0"/>
          <c:showSerName val="0"/>
          <c:showPercent val="0"/>
          <c:showBubbleSize val="0"/>
        </c:dLbls>
        <c:axId val="1811099320"/>
        <c:axId val="1891488904"/>
      </c:scatterChart>
      <c:valAx>
        <c:axId val="1811099320"/>
        <c:scaling>
          <c:orientation val="minMax"/>
        </c:scaling>
        <c:delete val="1"/>
        <c:axPos val="b"/>
        <c:numFmt formatCode="General" sourceLinked="1"/>
        <c:majorTickMark val="out"/>
        <c:minorTickMark val="none"/>
        <c:tickLblPos val="nextTo"/>
        <c:crossAx val="1891488904"/>
        <c:crosses val="autoZero"/>
        <c:crossBetween val="midCat"/>
      </c:valAx>
      <c:valAx>
        <c:axId val="1891488904"/>
        <c:scaling>
          <c:orientation val="minMax"/>
        </c:scaling>
        <c:delete val="1"/>
        <c:axPos val="l"/>
        <c:numFmt formatCode="General" sourceLinked="1"/>
        <c:majorTickMark val="out"/>
        <c:minorTickMark val="none"/>
        <c:tickLblPos val="nextTo"/>
        <c:crossAx val="1811099320"/>
        <c:crosses val="autoZero"/>
        <c:crossBetween val="midCat"/>
      </c:valAx>
      <c:spPr>
        <a:ln>
          <a:noFill/>
        </a:ln>
      </c:spPr>
    </c:plotArea>
    <c:plotVisOnly val="1"/>
    <c:dispBlanksAs val="gap"/>
    <c:showDLblsOverMax val="0"/>
  </c:chart>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125841180386775"/>
          <c:y val="6.5217391304347797E-3"/>
          <c:w val="0.853432036961286"/>
          <c:h val="0.85869565217391297"/>
        </c:manualLayout>
      </c:layout>
      <c:scatterChart>
        <c:scatterStyle val="lineMarker"/>
        <c:varyColors val="0"/>
        <c:ser>
          <c:idx val="0"/>
          <c:order val="0"/>
          <c:spPr>
            <a:ln w="25400">
              <a:solidFill>
                <a:schemeClr val="tx1"/>
              </a:solidFill>
            </a:ln>
          </c:spPr>
          <c:marker>
            <c:symbol val="none"/>
          </c:marker>
          <c:xVal>
            <c:numRef>
              <c:f>'Amph exchg components'!$AI$5:$AI$9</c:f>
              <c:numCache>
                <c:formatCode>General</c:formatCode>
                <c:ptCount val="5"/>
                <c:pt idx="0">
                  <c:v>0</c:v>
                </c:pt>
                <c:pt idx="1">
                  <c:v>1.1547005383792515</c:v>
                </c:pt>
                <c:pt idx="2">
                  <c:v>0.57735026918962573</c:v>
                </c:pt>
                <c:pt idx="3">
                  <c:v>0.57735026918962573</c:v>
                </c:pt>
                <c:pt idx="4">
                  <c:v>0</c:v>
                </c:pt>
              </c:numCache>
            </c:numRef>
          </c:xVal>
          <c:yVal>
            <c:numRef>
              <c:f>'Amph exchg components'!$AJ$5:$AJ$9</c:f>
              <c:numCache>
                <c:formatCode>General</c:formatCode>
                <c:ptCount val="5"/>
                <c:pt idx="0">
                  <c:v>0</c:v>
                </c:pt>
                <c:pt idx="1">
                  <c:v>0</c:v>
                </c:pt>
                <c:pt idx="2">
                  <c:v>1</c:v>
                </c:pt>
                <c:pt idx="3">
                  <c:v>1</c:v>
                </c:pt>
                <c:pt idx="4">
                  <c:v>0</c:v>
                </c:pt>
              </c:numCache>
            </c:numRef>
          </c:yVal>
          <c:smooth val="0"/>
          <c:extLst>
            <c:ext xmlns:c16="http://schemas.microsoft.com/office/drawing/2014/chart" uri="{C3380CC4-5D6E-409C-BE32-E72D297353CC}">
              <c16:uniqueId val="{00000000-B3F3-044E-92F4-C6E2D31E65FA}"/>
            </c:ext>
          </c:extLst>
        </c:ser>
        <c:ser>
          <c:idx val="1"/>
          <c:order val="1"/>
          <c:spPr>
            <a:ln>
              <a:noFill/>
            </a:ln>
          </c:spPr>
          <c:marker>
            <c:symbol val="square"/>
            <c:size val="15"/>
          </c:marker>
          <c:xVal>
            <c:numRef>
              <c:f>'Amph exchg components'!$AI$15:$AI$36</c:f>
              <c:numCache>
                <c:formatCode>General</c:formatCode>
                <c:ptCount val="22"/>
                <c:pt idx="0">
                  <c:v>0.19838570411369705</c:v>
                </c:pt>
                <c:pt idx="1">
                  <c:v>0.18803447568534015</c:v>
                </c:pt>
                <c:pt idx="2">
                  <c:v>0.17547354406711674</c:v>
                </c:pt>
                <c:pt idx="3">
                  <c:v>0.15670864199996778</c:v>
                </c:pt>
                <c:pt idx="4">
                  <c:v>0.16073232833624621</c:v>
                </c:pt>
                <c:pt idx="5">
                  <c:v>0.14430299855103529</c:v>
                </c:pt>
                <c:pt idx="6">
                  <c:v>0.16072832513748836</c:v>
                </c:pt>
                <c:pt idx="7">
                  <c:v>0.17845537465417782</c:v>
                </c:pt>
                <c:pt idx="8">
                  <c:v>0.15523713039128886</c:v>
                </c:pt>
                <c:pt idx="9">
                  <c:v>0.25286298238985477</c:v>
                </c:pt>
                <c:pt idx="10">
                  <c:v>0.26404287903552359</c:v>
                </c:pt>
                <c:pt idx="11">
                  <c:v>0.23998817613985551</c:v>
                </c:pt>
                <c:pt idx="12">
                  <c:v>0.19838570411369705</c:v>
                </c:pt>
                <c:pt idx="13">
                  <c:v>0.18803447568534015</c:v>
                </c:pt>
                <c:pt idx="14">
                  <c:v>0.17547354406711674</c:v>
                </c:pt>
                <c:pt idx="15">
                  <c:v>0.12057591984037094</c:v>
                </c:pt>
                <c:pt idx="16">
                  <c:v>0.10637278353744314</c:v>
                </c:pt>
                <c:pt idx="17">
                  <c:v>0.10637278353744314</c:v>
                </c:pt>
                <c:pt idx="18">
                  <c:v>0.1069630394097888</c:v>
                </c:pt>
                <c:pt idx="19">
                  <c:v>0.11012456255972458</c:v>
                </c:pt>
                <c:pt idx="20">
                  <c:v>0.35020930743965323</c:v>
                </c:pt>
                <c:pt idx="21">
                  <c:v>4.8270175040240303E-2</c:v>
                </c:pt>
              </c:numCache>
            </c:numRef>
          </c:xVal>
          <c:yVal>
            <c:numRef>
              <c:f>'Amph exchg components'!$AJ$15:$AJ$36</c:f>
              <c:numCache>
                <c:formatCode>General</c:formatCode>
                <c:ptCount val="22"/>
                <c:pt idx="0">
                  <c:v>7.927371189935753E-2</c:v>
                </c:pt>
                <c:pt idx="1">
                  <c:v>7.4943462058678897E-2</c:v>
                </c:pt>
                <c:pt idx="2">
                  <c:v>8.3024658706057908E-2</c:v>
                </c:pt>
                <c:pt idx="3">
                  <c:v>8.4084626655158395E-2</c:v>
                </c:pt>
                <c:pt idx="4">
                  <c:v>8.1630454983426123E-2</c:v>
                </c:pt>
                <c:pt idx="5">
                  <c:v>8.6385241574345559E-2</c:v>
                </c:pt>
                <c:pt idx="6">
                  <c:v>8.6126581432656002E-2</c:v>
                </c:pt>
                <c:pt idx="7">
                  <c:v>7.4486060808459126E-2</c:v>
                </c:pt>
                <c:pt idx="8">
                  <c:v>9.2080574027452525E-2</c:v>
                </c:pt>
                <c:pt idx="9">
                  <c:v>9.960320549198784E-2</c:v>
                </c:pt>
                <c:pt idx="10">
                  <c:v>9.3789877123930013E-2</c:v>
                </c:pt>
                <c:pt idx="11">
                  <c:v>0.10476652230132424</c:v>
                </c:pt>
                <c:pt idx="12">
                  <c:v>7.927371189935753E-2</c:v>
                </c:pt>
                <c:pt idx="13">
                  <c:v>7.4943462058678897E-2</c:v>
                </c:pt>
                <c:pt idx="14">
                  <c:v>8.3024658706057908E-2</c:v>
                </c:pt>
                <c:pt idx="15">
                  <c:v>1.6224945699000314E-2</c:v>
                </c:pt>
                <c:pt idx="16">
                  <c:v>1.5521123698323603E-2</c:v>
                </c:pt>
                <c:pt idx="17">
                  <c:v>1.5521123698323603E-2</c:v>
                </c:pt>
                <c:pt idx="18">
                  <c:v>1.6344908282188535E-2</c:v>
                </c:pt>
                <c:pt idx="19">
                  <c:v>1.6087123853477603E-2</c:v>
                </c:pt>
                <c:pt idx="20">
                  <c:v>2.9368327442326609E-2</c:v>
                </c:pt>
                <c:pt idx="21">
                  <c:v>6.0973836154540383E-4</c:v>
                </c:pt>
              </c:numCache>
            </c:numRef>
          </c:yVal>
          <c:smooth val="0"/>
          <c:extLst>
            <c:ext xmlns:c16="http://schemas.microsoft.com/office/drawing/2014/chart" uri="{C3380CC4-5D6E-409C-BE32-E72D297353CC}">
              <c16:uniqueId val="{00000001-B3F3-044E-92F4-C6E2D31E65FA}"/>
            </c:ext>
          </c:extLst>
        </c:ser>
        <c:ser>
          <c:idx val="2"/>
          <c:order val="2"/>
          <c:spPr>
            <a:ln>
              <a:noFill/>
            </a:ln>
          </c:spPr>
          <c:marker>
            <c:symbol val="triangle"/>
            <c:size val="16"/>
            <c:spPr>
              <a:solidFill>
                <a:srgbClr val="FFFF00"/>
              </a:solidFill>
              <a:ln>
                <a:solidFill>
                  <a:schemeClr val="tx1"/>
                </a:solidFill>
              </a:ln>
            </c:spPr>
          </c:marker>
          <c:xVal>
            <c:numRef>
              <c:f>'End-member comp calcs'!$AI$15:$AI$26</c:f>
              <c:numCache>
                <c:formatCode>General</c:formatCode>
                <c:ptCount val="12"/>
                <c:pt idx="0">
                  <c:v>2.0207259421636894</c:v>
                </c:pt>
                <c:pt idx="1">
                  <c:v>0.53886025124365078</c:v>
                </c:pt>
                <c:pt idx="2">
                  <c:v>0.57735026918962573</c:v>
                </c:pt>
                <c:pt idx="3">
                  <c:v>0</c:v>
                </c:pt>
                <c:pt idx="4">
                  <c:v>1.1547005383792515</c:v>
                </c:pt>
                <c:pt idx="5">
                  <c:v>1.1547005383792515</c:v>
                </c:pt>
                <c:pt idx="6">
                  <c:v>0</c:v>
                </c:pt>
                <c:pt idx="7">
                  <c:v>0</c:v>
                </c:pt>
                <c:pt idx="8">
                  <c:v>0.57735026918962573</c:v>
                </c:pt>
                <c:pt idx="9">
                  <c:v>0.38490017945975047</c:v>
                </c:pt>
                <c:pt idx="10">
                  <c:v>0.4618802153517006</c:v>
                </c:pt>
                <c:pt idx="11">
                  <c:v>1.1547005383792515</c:v>
                </c:pt>
              </c:numCache>
            </c:numRef>
          </c:xVal>
          <c:yVal>
            <c:numRef>
              <c:f>'End-member comp calcs'!$AJ$15:$AJ$26</c:f>
              <c:numCache>
                <c:formatCode>General</c:formatCode>
                <c:ptCount val="12"/>
                <c:pt idx="0">
                  <c:v>0</c:v>
                </c:pt>
                <c:pt idx="1">
                  <c:v>0</c:v>
                </c:pt>
                <c:pt idx="2">
                  <c:v>1</c:v>
                </c:pt>
                <c:pt idx="3">
                  <c:v>0</c:v>
                </c:pt>
                <c:pt idx="4">
                  <c:v>0</c:v>
                </c:pt>
                <c:pt idx="5">
                  <c:v>0</c:v>
                </c:pt>
                <c:pt idx="6">
                  <c:v>0</c:v>
                </c:pt>
                <c:pt idx="7">
                  <c:v>0</c:v>
                </c:pt>
                <c:pt idx="8">
                  <c:v>0</c:v>
                </c:pt>
                <c:pt idx="9">
                  <c:v>0</c:v>
                </c:pt>
                <c:pt idx="10">
                  <c:v>0.4</c:v>
                </c:pt>
                <c:pt idx="11">
                  <c:v>0</c:v>
                </c:pt>
              </c:numCache>
            </c:numRef>
          </c:yVal>
          <c:smooth val="0"/>
          <c:extLst>
            <c:ext xmlns:c16="http://schemas.microsoft.com/office/drawing/2014/chart" uri="{C3380CC4-5D6E-409C-BE32-E72D297353CC}">
              <c16:uniqueId val="{00000002-B3F3-044E-92F4-C6E2D31E65FA}"/>
            </c:ext>
          </c:extLst>
        </c:ser>
        <c:dLbls>
          <c:showLegendKey val="0"/>
          <c:showVal val="0"/>
          <c:showCatName val="0"/>
          <c:showSerName val="0"/>
          <c:showPercent val="0"/>
          <c:showBubbleSize val="0"/>
        </c:dLbls>
        <c:axId val="1892983752"/>
        <c:axId val="1893331128"/>
      </c:scatterChart>
      <c:valAx>
        <c:axId val="1892983752"/>
        <c:scaling>
          <c:orientation val="minMax"/>
          <c:max val="1.4"/>
        </c:scaling>
        <c:delete val="1"/>
        <c:axPos val="b"/>
        <c:numFmt formatCode="General" sourceLinked="1"/>
        <c:majorTickMark val="out"/>
        <c:minorTickMark val="none"/>
        <c:tickLblPos val="nextTo"/>
        <c:crossAx val="1893331128"/>
        <c:crosses val="autoZero"/>
        <c:crossBetween val="midCat"/>
      </c:valAx>
      <c:valAx>
        <c:axId val="1893331128"/>
        <c:scaling>
          <c:orientation val="minMax"/>
        </c:scaling>
        <c:delete val="1"/>
        <c:axPos val="l"/>
        <c:numFmt formatCode="General" sourceLinked="1"/>
        <c:majorTickMark val="out"/>
        <c:minorTickMark val="none"/>
        <c:tickLblPos val="nextTo"/>
        <c:crossAx val="1892983752"/>
        <c:crosses val="autoZero"/>
        <c:crossBetween val="midCat"/>
      </c:valAx>
      <c:spPr>
        <a:ln>
          <a:noFill/>
        </a:ln>
      </c:spPr>
    </c:plotArea>
    <c:plotVisOnly val="1"/>
    <c:dispBlanksAs val="gap"/>
    <c:showDLblsOverMax val="0"/>
  </c:chart>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4.7375503204432901E-2"/>
          <c:y val="0"/>
          <c:w val="0.85787349038670102"/>
          <c:h val="0.85869565217391297"/>
        </c:manualLayout>
      </c:layout>
      <c:scatterChart>
        <c:scatterStyle val="lineMarker"/>
        <c:varyColors val="0"/>
        <c:ser>
          <c:idx val="0"/>
          <c:order val="0"/>
          <c:spPr>
            <a:ln w="25400">
              <a:solidFill>
                <a:schemeClr val="tx1"/>
              </a:solidFill>
            </a:ln>
          </c:spPr>
          <c:marker>
            <c:symbol val="none"/>
          </c:marker>
          <c:xVal>
            <c:numRef>
              <c:f>'Amph exchg components'!$AI$5:$AI$9</c:f>
              <c:numCache>
                <c:formatCode>General</c:formatCode>
                <c:ptCount val="5"/>
                <c:pt idx="0">
                  <c:v>0</c:v>
                </c:pt>
                <c:pt idx="1">
                  <c:v>1.1547005383792515</c:v>
                </c:pt>
                <c:pt idx="2">
                  <c:v>0.57735026918962573</c:v>
                </c:pt>
                <c:pt idx="3">
                  <c:v>0.57735026918962573</c:v>
                </c:pt>
                <c:pt idx="4">
                  <c:v>0</c:v>
                </c:pt>
              </c:numCache>
            </c:numRef>
          </c:xVal>
          <c:yVal>
            <c:numRef>
              <c:f>'Amph exchg components'!$AJ$5:$AJ$9</c:f>
              <c:numCache>
                <c:formatCode>General</c:formatCode>
                <c:ptCount val="5"/>
                <c:pt idx="0">
                  <c:v>0</c:v>
                </c:pt>
                <c:pt idx="1">
                  <c:v>0</c:v>
                </c:pt>
                <c:pt idx="2">
                  <c:v>1</c:v>
                </c:pt>
                <c:pt idx="3">
                  <c:v>1</c:v>
                </c:pt>
                <c:pt idx="4">
                  <c:v>0</c:v>
                </c:pt>
              </c:numCache>
            </c:numRef>
          </c:yVal>
          <c:smooth val="0"/>
          <c:extLst>
            <c:ext xmlns:c16="http://schemas.microsoft.com/office/drawing/2014/chart" uri="{C3380CC4-5D6E-409C-BE32-E72D297353CC}">
              <c16:uniqueId val="{00000000-49CF-A345-B2F5-5727F1389D0D}"/>
            </c:ext>
          </c:extLst>
        </c:ser>
        <c:ser>
          <c:idx val="1"/>
          <c:order val="1"/>
          <c:spPr>
            <a:ln>
              <a:noFill/>
            </a:ln>
          </c:spPr>
          <c:marker>
            <c:symbol val="square"/>
            <c:size val="15"/>
          </c:marker>
          <c:xVal>
            <c:numRef>
              <c:f>'Amph exchg components'!$AP$15:$AP$36</c:f>
              <c:numCache>
                <c:formatCode>General</c:formatCode>
                <c:ptCount val="22"/>
                <c:pt idx="0">
                  <c:v>0.1846761851744359</c:v>
                </c:pt>
                <c:pt idx="1">
                  <c:v>0.12620857832218543</c:v>
                </c:pt>
                <c:pt idx="2">
                  <c:v>0.25016260573398347</c:v>
                </c:pt>
                <c:pt idx="3">
                  <c:v>0.21574633147149019</c:v>
                </c:pt>
                <c:pt idx="4">
                  <c:v>0.18948629816890444</c:v>
                </c:pt>
                <c:pt idx="5">
                  <c:v>0.25430611036692696</c:v>
                </c:pt>
                <c:pt idx="6">
                  <c:v>0.21516655103524426</c:v>
                </c:pt>
                <c:pt idx="7">
                  <c:v>0.17464192402931436</c:v>
                </c:pt>
                <c:pt idx="8">
                  <c:v>0.23780783219267115</c:v>
                </c:pt>
                <c:pt idx="9">
                  <c:v>0.18356322810946543</c:v>
                </c:pt>
                <c:pt idx="10">
                  <c:v>0.17253046646064493</c:v>
                </c:pt>
                <c:pt idx="11">
                  <c:v>0.19305773138510082</c:v>
                </c:pt>
                <c:pt idx="12">
                  <c:v>0.1846761851744359</c:v>
                </c:pt>
                <c:pt idx="13">
                  <c:v>0.12620857832218543</c:v>
                </c:pt>
                <c:pt idx="14">
                  <c:v>0.25016260573398347</c:v>
                </c:pt>
                <c:pt idx="15">
                  <c:v>0.1670285536124943</c:v>
                </c:pt>
                <c:pt idx="16">
                  <c:v>0.15585743639405433</c:v>
                </c:pt>
                <c:pt idx="17">
                  <c:v>0.15585743639405433</c:v>
                </c:pt>
                <c:pt idx="18">
                  <c:v>0.19314864610598939</c:v>
                </c:pt>
                <c:pt idx="19">
                  <c:v>0.19198083014945508</c:v>
                </c:pt>
                <c:pt idx="20">
                  <c:v>0.12428438137253806</c:v>
                </c:pt>
                <c:pt idx="21">
                  <c:v>1.0380711013070845</c:v>
                </c:pt>
              </c:numCache>
            </c:numRef>
          </c:xVal>
          <c:yVal>
            <c:numRef>
              <c:f>'Amph exchg components'!$AQ$15:$AQ$36</c:f>
              <c:numCache>
                <c:formatCode>General</c:formatCode>
                <c:ptCount val="22"/>
                <c:pt idx="0">
                  <c:v>0.14462554599821426</c:v>
                </c:pt>
                <c:pt idx="1">
                  <c:v>0.13443541528937764</c:v>
                </c:pt>
                <c:pt idx="2">
                  <c:v>0.16274905483972174</c:v>
                </c:pt>
                <c:pt idx="3">
                  <c:v>0.15076978657692153</c:v>
                </c:pt>
                <c:pt idx="4">
                  <c:v>0.14347664016374242</c:v>
                </c:pt>
                <c:pt idx="5">
                  <c:v>0.1640011005230684</c:v>
                </c:pt>
                <c:pt idx="6">
                  <c:v>0.15685983777777662</c:v>
                </c:pt>
                <c:pt idx="7">
                  <c:v>0.13536665866592557</c:v>
                </c:pt>
                <c:pt idx="8">
                  <c:v>0.17119256337910307</c:v>
                </c:pt>
                <c:pt idx="9">
                  <c:v>0.17413702868713332</c:v>
                </c:pt>
                <c:pt idx="10">
                  <c:v>0.1647363809408241</c:v>
                </c:pt>
                <c:pt idx="11">
                  <c:v>0.18490164011071542</c:v>
                </c:pt>
                <c:pt idx="12">
                  <c:v>0.14462554599821426</c:v>
                </c:pt>
                <c:pt idx="13">
                  <c:v>0.13443541528937764</c:v>
                </c:pt>
                <c:pt idx="14">
                  <c:v>0.16274905483972174</c:v>
                </c:pt>
                <c:pt idx="15">
                  <c:v>3.0663449393062873E-2</c:v>
                </c:pt>
                <c:pt idx="16">
                  <c:v>2.7250545864002638E-2</c:v>
                </c:pt>
                <c:pt idx="17">
                  <c:v>2.7250545864002638E-2</c:v>
                </c:pt>
                <c:pt idx="18">
                  <c:v>3.0779243618338045E-2</c:v>
                </c:pt>
                <c:pt idx="19">
                  <c:v>3.053780271905748E-2</c:v>
                </c:pt>
                <c:pt idx="20">
                  <c:v>3.8304577152951817E-2</c:v>
                </c:pt>
                <c:pt idx="21">
                  <c:v>1.5598978584988941E-3</c:v>
                </c:pt>
              </c:numCache>
            </c:numRef>
          </c:yVal>
          <c:smooth val="0"/>
          <c:extLst>
            <c:ext xmlns:c16="http://schemas.microsoft.com/office/drawing/2014/chart" uri="{C3380CC4-5D6E-409C-BE32-E72D297353CC}">
              <c16:uniqueId val="{00000001-49CF-A345-B2F5-5727F1389D0D}"/>
            </c:ext>
          </c:extLst>
        </c:ser>
        <c:ser>
          <c:idx val="2"/>
          <c:order val="2"/>
          <c:spPr>
            <a:ln>
              <a:noFill/>
            </a:ln>
          </c:spPr>
          <c:marker>
            <c:symbol val="triangle"/>
            <c:size val="16"/>
            <c:spPr>
              <a:solidFill>
                <a:srgbClr val="FFFF00"/>
              </a:solidFill>
              <a:ln>
                <a:solidFill>
                  <a:schemeClr val="tx1"/>
                </a:solidFill>
              </a:ln>
            </c:spPr>
          </c:marker>
          <c:xVal>
            <c:numRef>
              <c:f>'End-member comp calcs'!$AP$15:$AP$26</c:f>
              <c:numCache>
                <c:formatCode>General</c:formatCode>
                <c:ptCount val="12"/>
                <c:pt idx="0">
                  <c:v>0.34641016151377535</c:v>
                </c:pt>
                <c:pt idx="1">
                  <c:v>0.41989110486518222</c:v>
                </c:pt>
                <c:pt idx="2">
                  <c:v>0.28867513459481281</c:v>
                </c:pt>
                <c:pt idx="3">
                  <c:v>0</c:v>
                </c:pt>
                <c:pt idx="4">
                  <c:v>-3.204937810639273E-17</c:v>
                </c:pt>
                <c:pt idx="5">
                  <c:v>0</c:v>
                </c:pt>
                <c:pt idx="6">
                  <c:v>-3.204937810639273E-17</c:v>
                </c:pt>
                <c:pt idx="7">
                  <c:v>1.1547005383792515</c:v>
                </c:pt>
                <c:pt idx="8">
                  <c:v>1.1547005383792515</c:v>
                </c:pt>
                <c:pt idx="9">
                  <c:v>1.1547005383792515</c:v>
                </c:pt>
                <c:pt idx="10">
                  <c:v>0.8660254037844386</c:v>
                </c:pt>
                <c:pt idx="11">
                  <c:v>-1.6024689053196368E-16</c:v>
                </c:pt>
              </c:numCache>
            </c:numRef>
          </c:xVal>
          <c:yVal>
            <c:numRef>
              <c:f>'End-member comp calcs'!$AQ$15:$AQ$26</c:f>
              <c:numCache>
                <c:formatCode>General</c:formatCode>
                <c:ptCount val="12"/>
                <c:pt idx="0">
                  <c:v>0</c:v>
                </c:pt>
                <c:pt idx="1">
                  <c:v>0</c:v>
                </c:pt>
                <c:pt idx="2">
                  <c:v>0.5</c:v>
                </c:pt>
                <c:pt idx="3">
                  <c:v>0</c:v>
                </c:pt>
                <c:pt idx="4">
                  <c:v>0</c:v>
                </c:pt>
                <c:pt idx="5">
                  <c:v>0</c:v>
                </c:pt>
                <c:pt idx="6">
                  <c:v>0</c:v>
                </c:pt>
                <c:pt idx="7">
                  <c:v>0</c:v>
                </c:pt>
                <c:pt idx="8">
                  <c:v>0</c:v>
                </c:pt>
                <c:pt idx="9">
                  <c:v>0</c:v>
                </c:pt>
                <c:pt idx="10">
                  <c:v>0.5</c:v>
                </c:pt>
                <c:pt idx="11">
                  <c:v>0</c:v>
                </c:pt>
              </c:numCache>
            </c:numRef>
          </c:yVal>
          <c:smooth val="0"/>
          <c:extLst>
            <c:ext xmlns:c16="http://schemas.microsoft.com/office/drawing/2014/chart" uri="{C3380CC4-5D6E-409C-BE32-E72D297353CC}">
              <c16:uniqueId val="{00000002-49CF-A345-B2F5-5727F1389D0D}"/>
            </c:ext>
          </c:extLst>
        </c:ser>
        <c:dLbls>
          <c:showLegendKey val="0"/>
          <c:showVal val="0"/>
          <c:showCatName val="0"/>
          <c:showSerName val="0"/>
          <c:showPercent val="0"/>
          <c:showBubbleSize val="0"/>
        </c:dLbls>
        <c:axId val="1851999800"/>
        <c:axId val="1852713368"/>
      </c:scatterChart>
      <c:valAx>
        <c:axId val="1851999800"/>
        <c:scaling>
          <c:orientation val="minMax"/>
        </c:scaling>
        <c:delete val="1"/>
        <c:axPos val="b"/>
        <c:numFmt formatCode="General" sourceLinked="1"/>
        <c:majorTickMark val="out"/>
        <c:minorTickMark val="none"/>
        <c:tickLblPos val="nextTo"/>
        <c:crossAx val="1852713368"/>
        <c:crosses val="autoZero"/>
        <c:crossBetween val="midCat"/>
      </c:valAx>
      <c:valAx>
        <c:axId val="1852713368"/>
        <c:scaling>
          <c:orientation val="minMax"/>
        </c:scaling>
        <c:delete val="1"/>
        <c:axPos val="l"/>
        <c:numFmt formatCode="General" sourceLinked="1"/>
        <c:majorTickMark val="out"/>
        <c:minorTickMark val="none"/>
        <c:tickLblPos val="nextTo"/>
        <c:crossAx val="1851999800"/>
        <c:crosses val="autoZero"/>
        <c:crossBetween val="midCat"/>
      </c:valAx>
      <c:spPr>
        <a:ln>
          <a:noFill/>
        </a:ln>
      </c:spPr>
    </c:plotArea>
    <c:plotVisOnly val="1"/>
    <c:dispBlanksAs val="gap"/>
    <c:showDLblsOverMax val="0"/>
  </c:chart>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11103633563539"/>
          <c:y val="0"/>
          <c:w val="0.83714670773476196"/>
          <c:h val="0.85869565217391297"/>
        </c:manualLayout>
      </c:layout>
      <c:scatterChart>
        <c:scatterStyle val="lineMarker"/>
        <c:varyColors val="0"/>
        <c:ser>
          <c:idx val="0"/>
          <c:order val="0"/>
          <c:spPr>
            <a:ln w="25400">
              <a:solidFill>
                <a:schemeClr val="tx1"/>
              </a:solidFill>
            </a:ln>
          </c:spPr>
          <c:marker>
            <c:symbol val="none"/>
          </c:marker>
          <c:xVal>
            <c:numRef>
              <c:f>'Amph exchg components'!$AI$5:$AI$9</c:f>
              <c:numCache>
                <c:formatCode>General</c:formatCode>
                <c:ptCount val="5"/>
                <c:pt idx="0">
                  <c:v>0</c:v>
                </c:pt>
                <c:pt idx="1">
                  <c:v>1.1547005383792515</c:v>
                </c:pt>
                <c:pt idx="2">
                  <c:v>0.57735026918962573</c:v>
                </c:pt>
                <c:pt idx="3">
                  <c:v>0.57735026918962573</c:v>
                </c:pt>
                <c:pt idx="4">
                  <c:v>0</c:v>
                </c:pt>
              </c:numCache>
            </c:numRef>
          </c:xVal>
          <c:yVal>
            <c:numRef>
              <c:f>'Amph exchg components'!$AJ$5:$AJ$9</c:f>
              <c:numCache>
                <c:formatCode>General</c:formatCode>
                <c:ptCount val="5"/>
                <c:pt idx="0">
                  <c:v>0</c:v>
                </c:pt>
                <c:pt idx="1">
                  <c:v>0</c:v>
                </c:pt>
                <c:pt idx="2">
                  <c:v>1</c:v>
                </c:pt>
                <c:pt idx="3">
                  <c:v>1</c:v>
                </c:pt>
                <c:pt idx="4">
                  <c:v>0</c:v>
                </c:pt>
              </c:numCache>
            </c:numRef>
          </c:yVal>
          <c:smooth val="0"/>
          <c:extLst>
            <c:ext xmlns:c16="http://schemas.microsoft.com/office/drawing/2014/chart" uri="{C3380CC4-5D6E-409C-BE32-E72D297353CC}">
              <c16:uniqueId val="{00000000-7A7D-3D4D-88F3-9B673A602057}"/>
            </c:ext>
          </c:extLst>
        </c:ser>
        <c:ser>
          <c:idx val="1"/>
          <c:order val="1"/>
          <c:spPr>
            <a:ln>
              <a:noFill/>
            </a:ln>
          </c:spPr>
          <c:marker>
            <c:symbol val="square"/>
            <c:size val="15"/>
          </c:marker>
          <c:xVal>
            <c:numRef>
              <c:f>'Amph exchg components'!$AW$15:$AW$36</c:f>
              <c:numCache>
                <c:formatCode>General</c:formatCode>
                <c:ptCount val="22"/>
                <c:pt idx="0">
                  <c:v>0.15517519409028654</c:v>
                </c:pt>
                <c:pt idx="1">
                  <c:v>0.13611477218266901</c:v>
                </c:pt>
                <c:pt idx="2">
                  <c:v>0.17005977697416136</c:v>
                </c:pt>
                <c:pt idx="3">
                  <c:v>0.15602568593977556</c:v>
                </c:pt>
                <c:pt idx="4">
                  <c:v>0.14732960058282682</c:v>
                </c:pt>
                <c:pt idx="5">
                  <c:v>0.16333868752299752</c:v>
                </c:pt>
                <c:pt idx="6">
                  <c:v>0.1542247813550498</c:v>
                </c:pt>
                <c:pt idx="7">
                  <c:v>0.1409324731522516</c:v>
                </c:pt>
                <c:pt idx="8">
                  <c:v>0.16476245315026422</c:v>
                </c:pt>
                <c:pt idx="9">
                  <c:v>0.15491703973770971</c:v>
                </c:pt>
                <c:pt idx="10">
                  <c:v>0.15350565439614494</c:v>
                </c:pt>
                <c:pt idx="11">
                  <c:v>0.15064687030862337</c:v>
                </c:pt>
                <c:pt idx="12">
                  <c:v>0.15517519409028654</c:v>
                </c:pt>
                <c:pt idx="13">
                  <c:v>0.13611477218266901</c:v>
                </c:pt>
                <c:pt idx="14">
                  <c:v>0.17005977697416136</c:v>
                </c:pt>
                <c:pt idx="15">
                  <c:v>9.4838760865255098E-2</c:v>
                </c:pt>
                <c:pt idx="16">
                  <c:v>9.4815096189856146E-2</c:v>
                </c:pt>
                <c:pt idx="17">
                  <c:v>9.4815096189856146E-2</c:v>
                </c:pt>
                <c:pt idx="18">
                  <c:v>0.10459288579534319</c:v>
                </c:pt>
                <c:pt idx="19">
                  <c:v>0.10978100906482617</c:v>
                </c:pt>
                <c:pt idx="20">
                  <c:v>0.20643395547757326</c:v>
                </c:pt>
                <c:pt idx="21">
                  <c:v>4.987322014110631E-2</c:v>
                </c:pt>
              </c:numCache>
            </c:numRef>
          </c:xVal>
          <c:yVal>
            <c:numRef>
              <c:f>'Amph exchg components'!$AX$15:$AX$36</c:f>
              <c:numCache>
                <c:formatCode>General</c:formatCode>
                <c:ptCount val="22"/>
                <c:pt idx="0">
                  <c:v>9.3208809620077132E-2</c:v>
                </c:pt>
                <c:pt idx="1">
                  <c:v>8.5203616046155686E-2</c:v>
                </c:pt>
                <c:pt idx="2">
                  <c:v>8.1839870111132196E-2</c:v>
                </c:pt>
                <c:pt idx="3">
                  <c:v>6.649356281821063E-2</c:v>
                </c:pt>
                <c:pt idx="4">
                  <c:v>6.8587596864541259E-2</c:v>
                </c:pt>
                <c:pt idx="5">
                  <c:v>6.0139262806039567E-2</c:v>
                </c:pt>
                <c:pt idx="6">
                  <c:v>6.8822170498397561E-2</c:v>
                </c:pt>
                <c:pt idx="7">
                  <c:v>8.2345265205957474E-2</c:v>
                </c:pt>
                <c:pt idx="8">
                  <c:v>6.4222377978450429E-2</c:v>
                </c:pt>
                <c:pt idx="9">
                  <c:v>0.12147143533811833</c:v>
                </c:pt>
                <c:pt idx="10">
                  <c:v>0.12976960221878367</c:v>
                </c:pt>
                <c:pt idx="11">
                  <c:v>0.11314759421208954</c:v>
                </c:pt>
                <c:pt idx="12">
                  <c:v>9.3208809620077132E-2</c:v>
                </c:pt>
                <c:pt idx="13">
                  <c:v>8.5203616046155686E-2</c:v>
                </c:pt>
                <c:pt idx="14">
                  <c:v>8.1839870111132196E-2</c:v>
                </c:pt>
                <c:pt idx="15">
                  <c:v>6.7394278832009352E-2</c:v>
                </c:pt>
                <c:pt idx="16">
                  <c:v>5.7015838880612318E-2</c:v>
                </c:pt>
                <c:pt idx="17">
                  <c:v>5.7015838880612318E-2</c:v>
                </c:pt>
                <c:pt idx="18">
                  <c:v>5.9321460333202451E-2</c:v>
                </c:pt>
                <c:pt idx="19">
                  <c:v>6.1170582698763319E-2</c:v>
                </c:pt>
                <c:pt idx="20">
                  <c:v>0.16597470875032111</c:v>
                </c:pt>
                <c:pt idx="21">
                  <c:v>5.955423716350907E-2</c:v>
                </c:pt>
              </c:numCache>
            </c:numRef>
          </c:yVal>
          <c:smooth val="0"/>
          <c:extLst>
            <c:ext xmlns:c16="http://schemas.microsoft.com/office/drawing/2014/chart" uri="{C3380CC4-5D6E-409C-BE32-E72D297353CC}">
              <c16:uniqueId val="{00000001-7A7D-3D4D-88F3-9B673A602057}"/>
            </c:ext>
          </c:extLst>
        </c:ser>
        <c:ser>
          <c:idx val="2"/>
          <c:order val="2"/>
          <c:spPr>
            <a:ln>
              <a:noFill/>
            </a:ln>
          </c:spPr>
          <c:marker>
            <c:symbol val="triangle"/>
            <c:size val="16"/>
            <c:spPr>
              <a:solidFill>
                <a:srgbClr val="FFFF00"/>
              </a:solidFill>
              <a:ln>
                <a:solidFill>
                  <a:schemeClr val="tx1"/>
                </a:solidFill>
              </a:ln>
            </c:spPr>
          </c:marker>
          <c:xVal>
            <c:numRef>
              <c:f>'End-member comp calcs'!$AW$15:$AW$26</c:f>
              <c:numCache>
                <c:formatCode>General</c:formatCode>
                <c:ptCount val="12"/>
                <c:pt idx="0">
                  <c:v>0</c:v>
                </c:pt>
                <c:pt idx="1">
                  <c:v>0.19245008972987523</c:v>
                </c:pt>
                <c:pt idx="2">
                  <c:v>0</c:v>
                </c:pt>
                <c:pt idx="3">
                  <c:v>0</c:v>
                </c:pt>
                <c:pt idx="4">
                  <c:v>0.19245008972987523</c:v>
                </c:pt>
                <c:pt idx="5">
                  <c:v>0.28867513459481287</c:v>
                </c:pt>
                <c:pt idx="6">
                  <c:v>0.57735026918962573</c:v>
                </c:pt>
                <c:pt idx="7">
                  <c:v>0</c:v>
                </c:pt>
                <c:pt idx="8">
                  <c:v>0.57735026918962573</c:v>
                </c:pt>
                <c:pt idx="9">
                  <c:v>0.57735026918962573</c:v>
                </c:pt>
                <c:pt idx="10">
                  <c:v>0.57735026918962573</c:v>
                </c:pt>
                <c:pt idx="11">
                  <c:v>0.28867513459481287</c:v>
                </c:pt>
              </c:numCache>
            </c:numRef>
          </c:xVal>
          <c:yVal>
            <c:numRef>
              <c:f>'End-member comp calcs'!$AX$15:$AX$26</c:f>
              <c:numCache>
                <c:formatCode>General</c:formatCode>
                <c:ptCount val="12"/>
                <c:pt idx="0">
                  <c:v>0</c:v>
                </c:pt>
                <c:pt idx="1">
                  <c:v>0.33333333333333331</c:v>
                </c:pt>
                <c:pt idx="2">
                  <c:v>0</c:v>
                </c:pt>
                <c:pt idx="3">
                  <c:v>0</c:v>
                </c:pt>
                <c:pt idx="4">
                  <c:v>0.33333333333333331</c:v>
                </c:pt>
                <c:pt idx="5">
                  <c:v>0.5</c:v>
                </c:pt>
                <c:pt idx="6">
                  <c:v>0</c:v>
                </c:pt>
                <c:pt idx="7">
                  <c:v>0</c:v>
                </c:pt>
                <c:pt idx="8">
                  <c:v>1</c:v>
                </c:pt>
                <c:pt idx="9">
                  <c:v>1</c:v>
                </c:pt>
                <c:pt idx="10">
                  <c:v>1</c:v>
                </c:pt>
                <c:pt idx="11">
                  <c:v>0.5</c:v>
                </c:pt>
              </c:numCache>
            </c:numRef>
          </c:yVal>
          <c:smooth val="0"/>
          <c:extLst>
            <c:ext xmlns:c16="http://schemas.microsoft.com/office/drawing/2014/chart" uri="{C3380CC4-5D6E-409C-BE32-E72D297353CC}">
              <c16:uniqueId val="{00000002-7A7D-3D4D-88F3-9B673A602057}"/>
            </c:ext>
          </c:extLst>
        </c:ser>
        <c:dLbls>
          <c:showLegendKey val="0"/>
          <c:showVal val="0"/>
          <c:showCatName val="0"/>
          <c:showSerName val="0"/>
          <c:showPercent val="0"/>
          <c:showBubbleSize val="0"/>
        </c:dLbls>
        <c:axId val="1810918824"/>
        <c:axId val="-2002073784"/>
      </c:scatterChart>
      <c:valAx>
        <c:axId val="1810918824"/>
        <c:scaling>
          <c:orientation val="minMax"/>
        </c:scaling>
        <c:delete val="1"/>
        <c:axPos val="b"/>
        <c:numFmt formatCode="General" sourceLinked="1"/>
        <c:majorTickMark val="out"/>
        <c:minorTickMark val="none"/>
        <c:tickLblPos val="nextTo"/>
        <c:crossAx val="-2002073784"/>
        <c:crosses val="autoZero"/>
        <c:crossBetween val="midCat"/>
      </c:valAx>
      <c:valAx>
        <c:axId val="-2002073784"/>
        <c:scaling>
          <c:orientation val="minMax"/>
        </c:scaling>
        <c:delete val="1"/>
        <c:axPos val="l"/>
        <c:numFmt formatCode="General" sourceLinked="1"/>
        <c:majorTickMark val="out"/>
        <c:minorTickMark val="none"/>
        <c:tickLblPos val="nextTo"/>
        <c:crossAx val="1810918824"/>
        <c:crosses val="autoZero"/>
        <c:crossBetween val="midCat"/>
      </c:valAx>
      <c:spPr>
        <a:ln>
          <a:noFill/>
        </a:ln>
      </c:spPr>
    </c:plotArea>
    <c:plotVisOnly val="1"/>
    <c:dispBlanksAs val="gap"/>
    <c:showDLblsOverMax val="0"/>
  </c:chart>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11251682011052801"/>
          <c:y val="0"/>
          <c:w val="0.79273217348060598"/>
          <c:h val="0.94347826086956499"/>
        </c:manualLayout>
      </c:layout>
      <c:scatterChart>
        <c:scatterStyle val="lineMarker"/>
        <c:varyColors val="0"/>
        <c:ser>
          <c:idx val="0"/>
          <c:order val="0"/>
          <c:spPr>
            <a:ln w="25400">
              <a:solidFill>
                <a:schemeClr val="tx1"/>
              </a:solidFill>
            </a:ln>
          </c:spPr>
          <c:marker>
            <c:symbol val="none"/>
          </c:marker>
          <c:xVal>
            <c:numRef>
              <c:f>'Amph exchg components'!$AI$5:$AI$9</c:f>
              <c:numCache>
                <c:formatCode>General</c:formatCode>
                <c:ptCount val="5"/>
                <c:pt idx="0">
                  <c:v>0</c:v>
                </c:pt>
                <c:pt idx="1">
                  <c:v>1.1547005383792515</c:v>
                </c:pt>
                <c:pt idx="2">
                  <c:v>0.57735026918962573</c:v>
                </c:pt>
                <c:pt idx="3">
                  <c:v>0.57735026918962573</c:v>
                </c:pt>
                <c:pt idx="4">
                  <c:v>0</c:v>
                </c:pt>
              </c:numCache>
            </c:numRef>
          </c:xVal>
          <c:yVal>
            <c:numRef>
              <c:f>'Amph exchg components'!$AJ$5:$AJ$9</c:f>
              <c:numCache>
                <c:formatCode>General</c:formatCode>
                <c:ptCount val="5"/>
                <c:pt idx="0">
                  <c:v>0</c:v>
                </c:pt>
                <c:pt idx="1">
                  <c:v>0</c:v>
                </c:pt>
                <c:pt idx="2">
                  <c:v>1</c:v>
                </c:pt>
                <c:pt idx="3">
                  <c:v>1</c:v>
                </c:pt>
                <c:pt idx="4">
                  <c:v>0</c:v>
                </c:pt>
              </c:numCache>
            </c:numRef>
          </c:yVal>
          <c:smooth val="0"/>
          <c:extLst>
            <c:ext xmlns:c16="http://schemas.microsoft.com/office/drawing/2014/chart" uri="{C3380CC4-5D6E-409C-BE32-E72D297353CC}">
              <c16:uniqueId val="{00000000-6107-2B4E-A38D-07FE6153AEFC}"/>
            </c:ext>
          </c:extLst>
        </c:ser>
        <c:ser>
          <c:idx val="1"/>
          <c:order val="1"/>
          <c:spPr>
            <a:ln>
              <a:noFill/>
            </a:ln>
          </c:spPr>
          <c:marker>
            <c:symbol val="square"/>
            <c:size val="15"/>
          </c:marker>
          <c:xVal>
            <c:numRef>
              <c:f>'Amph exchg components'!$BD$15:$BD$36</c:f>
              <c:numCache>
                <c:formatCode>General</c:formatCode>
                <c:ptCount val="22"/>
                <c:pt idx="0">
                  <c:v>0.18575592749843306</c:v>
                </c:pt>
                <c:pt idx="1">
                  <c:v>0.17659160882359393</c:v>
                </c:pt>
                <c:pt idx="2">
                  <c:v>0.1952252552607458</c:v>
                </c:pt>
                <c:pt idx="3">
                  <c:v>0.19712084420307258</c:v>
                </c:pt>
                <c:pt idx="4">
                  <c:v>0.19184321565095699</c:v>
                </c:pt>
                <c:pt idx="5">
                  <c:v>0.20167335230307937</c:v>
                </c:pt>
                <c:pt idx="6">
                  <c:v>0.19598571477892218</c:v>
                </c:pt>
                <c:pt idx="7">
                  <c:v>0.18451876157594926</c:v>
                </c:pt>
                <c:pt idx="8">
                  <c:v>0.20426017610281455</c:v>
                </c:pt>
                <c:pt idx="9">
                  <c:v>0.18482251212815093</c:v>
                </c:pt>
                <c:pt idx="10">
                  <c:v>0.17788436641246386</c:v>
                </c:pt>
                <c:pt idx="11">
                  <c:v>0.18892401821810439</c:v>
                </c:pt>
                <c:pt idx="12">
                  <c:v>0.18575592749843306</c:v>
                </c:pt>
                <c:pt idx="13">
                  <c:v>0.17659160882359393</c:v>
                </c:pt>
                <c:pt idx="14">
                  <c:v>0.1952252552607458</c:v>
                </c:pt>
                <c:pt idx="15">
                  <c:v>0.11504950053382962</c:v>
                </c:pt>
                <c:pt idx="16">
                  <c:v>0.1139220968555526</c:v>
                </c:pt>
                <c:pt idx="17">
                  <c:v>0.1139220968555526</c:v>
                </c:pt>
                <c:pt idx="18">
                  <c:v>0.12145034062277514</c:v>
                </c:pt>
                <c:pt idx="19">
                  <c:v>0.12012333206706426</c:v>
                </c:pt>
                <c:pt idx="20">
                  <c:v>0.2235851837684506</c:v>
                </c:pt>
                <c:pt idx="21">
                  <c:v>9.7045217445049826E-3</c:v>
                </c:pt>
              </c:numCache>
            </c:numRef>
          </c:xVal>
          <c:yVal>
            <c:numRef>
              <c:f>'Amph exchg components'!$BE$15:$BE$36</c:f>
              <c:numCache>
                <c:formatCode>General</c:formatCode>
                <c:ptCount val="22"/>
                <c:pt idx="0">
                  <c:v>0.15889326444806343</c:v>
                </c:pt>
                <c:pt idx="1">
                  <c:v>0.1691226661773938</c:v>
                </c:pt>
                <c:pt idx="2">
                  <c:v>0.1385707274572997</c:v>
                </c:pt>
                <c:pt idx="3">
                  <c:v>0.15754591604167001</c:v>
                </c:pt>
                <c:pt idx="4">
                  <c:v>0.16500280713147958</c:v>
                </c:pt>
                <c:pt idx="5">
                  <c:v>0.14716399326225826</c:v>
                </c:pt>
                <c:pt idx="6">
                  <c:v>0.16072600626733968</c:v>
                </c:pt>
                <c:pt idx="7">
                  <c:v>0.17399405750378491</c:v>
                </c:pt>
                <c:pt idx="8">
                  <c:v>0.15380593770304818</c:v>
                </c:pt>
                <c:pt idx="9">
                  <c:v>0.18366543406496419</c:v>
                </c:pt>
                <c:pt idx="10">
                  <c:v>0.17982355009232701</c:v>
                </c:pt>
                <c:pt idx="11">
                  <c:v>0.19270210631404197</c:v>
                </c:pt>
                <c:pt idx="12">
                  <c:v>0.15889326444806343</c:v>
                </c:pt>
                <c:pt idx="13">
                  <c:v>0.1691226661773938</c:v>
                </c:pt>
                <c:pt idx="14">
                  <c:v>0.1385707274572997</c:v>
                </c:pt>
                <c:pt idx="15">
                  <c:v>0.10645790968592542</c:v>
                </c:pt>
                <c:pt idx="16">
                  <c:v>9.4355291012649875E-2</c:v>
                </c:pt>
                <c:pt idx="17">
                  <c:v>9.4355291012649875E-2</c:v>
                </c:pt>
                <c:pt idx="18">
                  <c:v>9.2863921110261302E-2</c:v>
                </c:pt>
                <c:pt idx="19">
                  <c:v>8.193686890658787E-2</c:v>
                </c:pt>
                <c:pt idx="20">
                  <c:v>0.20454016850977919</c:v>
                </c:pt>
                <c:pt idx="21">
                  <c:v>-1.2063063103645943E-2</c:v>
                </c:pt>
              </c:numCache>
            </c:numRef>
          </c:yVal>
          <c:smooth val="0"/>
          <c:extLst>
            <c:ext xmlns:c16="http://schemas.microsoft.com/office/drawing/2014/chart" uri="{C3380CC4-5D6E-409C-BE32-E72D297353CC}">
              <c16:uniqueId val="{00000001-6107-2B4E-A38D-07FE6153AEFC}"/>
            </c:ext>
          </c:extLst>
        </c:ser>
        <c:ser>
          <c:idx val="2"/>
          <c:order val="2"/>
          <c:spPr>
            <a:ln>
              <a:noFill/>
            </a:ln>
          </c:spPr>
          <c:marker>
            <c:symbol val="triangle"/>
            <c:size val="16"/>
            <c:spPr>
              <a:solidFill>
                <a:srgbClr val="FFFF00"/>
              </a:solidFill>
              <a:ln>
                <a:solidFill>
                  <a:schemeClr val="tx1"/>
                </a:solidFill>
              </a:ln>
            </c:spPr>
          </c:marker>
          <c:xVal>
            <c:numRef>
              <c:f>'End-member comp calcs'!$BD$15:$BD$26</c:f>
              <c:numCache>
                <c:formatCode>General</c:formatCode>
                <c:ptCount val="12"/>
                <c:pt idx="0">
                  <c:v>0.4618802153517006</c:v>
                </c:pt>
                <c:pt idx="1">
                  <c:v>0.38490017945975047</c:v>
                </c:pt>
                <c:pt idx="2">
                  <c:v>0.28867513459481287</c:v>
                </c:pt>
                <c:pt idx="3">
                  <c:v>0</c:v>
                </c:pt>
                <c:pt idx="4">
                  <c:v>0.28867513459481287</c:v>
                </c:pt>
                <c:pt idx="5">
                  <c:v>0</c:v>
                </c:pt>
                <c:pt idx="6">
                  <c:v>0.57735026918962573</c:v>
                </c:pt>
                <c:pt idx="7">
                  <c:v>0</c:v>
                </c:pt>
                <c:pt idx="8">
                  <c:v>0</c:v>
                </c:pt>
                <c:pt idx="9">
                  <c:v>0.57735026918962573</c:v>
                </c:pt>
                <c:pt idx="10">
                  <c:v>0.57735026918962573</c:v>
                </c:pt>
                <c:pt idx="11">
                  <c:v>0.28867513459481287</c:v>
                </c:pt>
              </c:numCache>
            </c:numRef>
          </c:xVal>
          <c:yVal>
            <c:numRef>
              <c:f>'End-member comp calcs'!$BE$15:$BE$26</c:f>
              <c:numCache>
                <c:formatCode>General</c:formatCode>
                <c:ptCount val="12"/>
                <c:pt idx="0">
                  <c:v>0.8</c:v>
                </c:pt>
                <c:pt idx="1">
                  <c:v>0.66666666666666663</c:v>
                </c:pt>
                <c:pt idx="2">
                  <c:v>0.5</c:v>
                </c:pt>
                <c:pt idx="3">
                  <c:v>0</c:v>
                </c:pt>
                <c:pt idx="4">
                  <c:v>0.5</c:v>
                </c:pt>
                <c:pt idx="5">
                  <c:v>0</c:v>
                </c:pt>
                <c:pt idx="6">
                  <c:v>0</c:v>
                </c:pt>
                <c:pt idx="7">
                  <c:v>0</c:v>
                </c:pt>
                <c:pt idx="8">
                  <c:v>0</c:v>
                </c:pt>
                <c:pt idx="9">
                  <c:v>1</c:v>
                </c:pt>
                <c:pt idx="10">
                  <c:v>1</c:v>
                </c:pt>
                <c:pt idx="11">
                  <c:v>0.5</c:v>
                </c:pt>
              </c:numCache>
            </c:numRef>
          </c:yVal>
          <c:smooth val="0"/>
          <c:extLst>
            <c:ext xmlns:c16="http://schemas.microsoft.com/office/drawing/2014/chart" uri="{C3380CC4-5D6E-409C-BE32-E72D297353CC}">
              <c16:uniqueId val="{00000002-6107-2B4E-A38D-07FE6153AEFC}"/>
            </c:ext>
          </c:extLst>
        </c:ser>
        <c:dLbls>
          <c:showLegendKey val="0"/>
          <c:showVal val="0"/>
          <c:showCatName val="0"/>
          <c:showSerName val="0"/>
          <c:showPercent val="0"/>
          <c:showBubbleSize val="0"/>
        </c:dLbls>
        <c:axId val="1831357256"/>
        <c:axId val="-2098133656"/>
      </c:scatterChart>
      <c:valAx>
        <c:axId val="1831357256"/>
        <c:scaling>
          <c:orientation val="minMax"/>
        </c:scaling>
        <c:delete val="1"/>
        <c:axPos val="b"/>
        <c:numFmt formatCode="General" sourceLinked="1"/>
        <c:majorTickMark val="out"/>
        <c:minorTickMark val="none"/>
        <c:tickLblPos val="nextTo"/>
        <c:crossAx val="-2098133656"/>
        <c:crosses val="autoZero"/>
        <c:crossBetween val="midCat"/>
      </c:valAx>
      <c:valAx>
        <c:axId val="-2098133656"/>
        <c:scaling>
          <c:orientation val="minMax"/>
        </c:scaling>
        <c:delete val="1"/>
        <c:axPos val="l"/>
        <c:numFmt formatCode="General" sourceLinked="1"/>
        <c:majorTickMark val="out"/>
        <c:minorTickMark val="none"/>
        <c:tickLblPos val="nextTo"/>
        <c:crossAx val="1831357256"/>
        <c:crosses val="autoZero"/>
        <c:crossBetween val="midCat"/>
      </c:valAx>
      <c:spPr>
        <a:ln>
          <a:noFill/>
        </a:ln>
      </c:spPr>
    </c:plotArea>
    <c:plotVisOnly val="1"/>
    <c:dispBlanksAs val="gap"/>
    <c:showDLblsOverMax val="0"/>
  </c:chart>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14064602513815999"/>
          <c:y val="0"/>
          <c:w val="0.83418573878448499"/>
          <c:h val="0.897826086956522"/>
        </c:manualLayout>
      </c:layout>
      <c:scatterChart>
        <c:scatterStyle val="lineMarker"/>
        <c:varyColors val="0"/>
        <c:ser>
          <c:idx val="0"/>
          <c:order val="0"/>
          <c:spPr>
            <a:ln w="25400">
              <a:solidFill>
                <a:schemeClr val="tx1"/>
              </a:solidFill>
            </a:ln>
          </c:spPr>
          <c:marker>
            <c:symbol val="none"/>
          </c:marker>
          <c:xVal>
            <c:numRef>
              <c:f>'Amph exchg components'!$AI$5:$AI$9</c:f>
              <c:numCache>
                <c:formatCode>General</c:formatCode>
                <c:ptCount val="5"/>
                <c:pt idx="0">
                  <c:v>0</c:v>
                </c:pt>
                <c:pt idx="1">
                  <c:v>1.1547005383792515</c:v>
                </c:pt>
                <c:pt idx="2">
                  <c:v>0.57735026918962573</c:v>
                </c:pt>
                <c:pt idx="3">
                  <c:v>0.57735026918962573</c:v>
                </c:pt>
                <c:pt idx="4">
                  <c:v>0</c:v>
                </c:pt>
              </c:numCache>
            </c:numRef>
          </c:xVal>
          <c:yVal>
            <c:numRef>
              <c:f>'Amph exchg components'!$AJ$5:$AJ$9</c:f>
              <c:numCache>
                <c:formatCode>General</c:formatCode>
                <c:ptCount val="5"/>
                <c:pt idx="0">
                  <c:v>0</c:v>
                </c:pt>
                <c:pt idx="1">
                  <c:v>0</c:v>
                </c:pt>
                <c:pt idx="2">
                  <c:v>1</c:v>
                </c:pt>
                <c:pt idx="3">
                  <c:v>1</c:v>
                </c:pt>
                <c:pt idx="4">
                  <c:v>0</c:v>
                </c:pt>
              </c:numCache>
            </c:numRef>
          </c:yVal>
          <c:smooth val="0"/>
          <c:extLst>
            <c:ext xmlns:c16="http://schemas.microsoft.com/office/drawing/2014/chart" uri="{C3380CC4-5D6E-409C-BE32-E72D297353CC}">
              <c16:uniqueId val="{00000000-88FB-9944-A85A-3D4A4FF306F1}"/>
            </c:ext>
          </c:extLst>
        </c:ser>
        <c:ser>
          <c:idx val="1"/>
          <c:order val="1"/>
          <c:spPr>
            <a:ln>
              <a:noFill/>
            </a:ln>
          </c:spPr>
          <c:marker>
            <c:symbol val="square"/>
            <c:size val="15"/>
          </c:marker>
          <c:xVal>
            <c:numRef>
              <c:f>'Amph exchg components'!$BK$15:$BK$36</c:f>
              <c:numCache>
                <c:formatCode>General</c:formatCode>
                <c:ptCount val="22"/>
                <c:pt idx="0">
                  <c:v>0.36027497174811762</c:v>
                </c:pt>
                <c:pt idx="1">
                  <c:v>0.33903825242699104</c:v>
                </c:pt>
                <c:pt idx="2">
                  <c:v>0.40062581892182048</c:v>
                </c:pt>
                <c:pt idx="3">
                  <c:v>0.3841961738438433</c:v>
                </c:pt>
                <c:pt idx="4">
                  <c:v>0.36867092611202629</c:v>
                </c:pt>
                <c:pt idx="5">
                  <c:v>0.40866184319019927</c:v>
                </c:pt>
                <c:pt idx="6">
                  <c:v>0.38385179231185318</c:v>
                </c:pt>
                <c:pt idx="7">
                  <c:v>0.35596175669557401</c:v>
                </c:pt>
                <c:pt idx="8">
                  <c:v>0.4051666378841608</c:v>
                </c:pt>
                <c:pt idx="9">
                  <c:v>0.34251405402573198</c:v>
                </c:pt>
                <c:pt idx="10">
                  <c:v>0.33048762831692857</c:v>
                </c:pt>
                <c:pt idx="11">
                  <c:v>0.35122198275858718</c:v>
                </c:pt>
                <c:pt idx="12">
                  <c:v>0.36027497174811762</c:v>
                </c:pt>
                <c:pt idx="13">
                  <c:v>0.33903825242699104</c:v>
                </c:pt>
                <c:pt idx="14">
                  <c:v>0.40062581892182048</c:v>
                </c:pt>
                <c:pt idx="15">
                  <c:v>0.25517294924630274</c:v>
                </c:pt>
                <c:pt idx="16">
                  <c:v>0.24733235999984976</c:v>
                </c:pt>
                <c:pt idx="17">
                  <c:v>0.24733235999984976</c:v>
                </c:pt>
                <c:pt idx="18">
                  <c:v>0.27256031424634641</c:v>
                </c:pt>
                <c:pt idx="19">
                  <c:v>0.27279743157497549</c:v>
                </c:pt>
                <c:pt idx="20">
                  <c:v>0.33717183856543853</c:v>
                </c:pt>
                <c:pt idx="21">
                  <c:v>0.15434473626659936</c:v>
                </c:pt>
              </c:numCache>
            </c:numRef>
          </c:xVal>
          <c:yVal>
            <c:numRef>
              <c:f>'Amph exchg components'!$BL$15:$BL$36</c:f>
              <c:numCache>
                <c:formatCode>General</c:formatCode>
                <c:ptCount val="22"/>
                <c:pt idx="0">
                  <c:v>0.30817464148203361</c:v>
                </c:pt>
                <c:pt idx="1">
                  <c:v>0.32469862848271447</c:v>
                </c:pt>
                <c:pt idx="2">
                  <c:v>0.28436388054417655</c:v>
                </c:pt>
                <c:pt idx="3">
                  <c:v>0.30706310330924164</c:v>
                </c:pt>
                <c:pt idx="4">
                  <c:v>0.31709089899183607</c:v>
                </c:pt>
                <c:pt idx="5">
                  <c:v>0.29820652084666238</c:v>
                </c:pt>
                <c:pt idx="6">
                  <c:v>0.31479317585181288</c:v>
                </c:pt>
                <c:pt idx="7">
                  <c:v>0.33565817283108634</c:v>
                </c:pt>
                <c:pt idx="8">
                  <c:v>0.30508656094762876</c:v>
                </c:pt>
                <c:pt idx="9">
                  <c:v>0.34036975085788229</c:v>
                </c:pt>
                <c:pt idx="10">
                  <c:v>0.33409039694777531</c:v>
                </c:pt>
                <c:pt idx="11">
                  <c:v>0.35824569316135824</c:v>
                </c:pt>
                <c:pt idx="12">
                  <c:v>0.30817464148203361</c:v>
                </c:pt>
                <c:pt idx="13">
                  <c:v>0.32469862848271447</c:v>
                </c:pt>
                <c:pt idx="14">
                  <c:v>0.28436388054417655</c:v>
                </c:pt>
                <c:pt idx="15">
                  <c:v>0.23611731175804948</c:v>
                </c:pt>
                <c:pt idx="16">
                  <c:v>0.20485153845282167</c:v>
                </c:pt>
                <c:pt idx="17">
                  <c:v>0.20485153845282167</c:v>
                </c:pt>
                <c:pt idx="18">
                  <c:v>0.20840632797051423</c:v>
                </c:pt>
                <c:pt idx="19">
                  <c:v>0.18607681792021502</c:v>
                </c:pt>
                <c:pt idx="20">
                  <c:v>0.30845149716337472</c:v>
                </c:pt>
                <c:pt idx="21">
                  <c:v>-0.19185595563777574</c:v>
                </c:pt>
              </c:numCache>
            </c:numRef>
          </c:yVal>
          <c:smooth val="0"/>
          <c:extLst>
            <c:ext xmlns:c16="http://schemas.microsoft.com/office/drawing/2014/chart" uri="{C3380CC4-5D6E-409C-BE32-E72D297353CC}">
              <c16:uniqueId val="{00000001-88FB-9944-A85A-3D4A4FF306F1}"/>
            </c:ext>
          </c:extLst>
        </c:ser>
        <c:ser>
          <c:idx val="2"/>
          <c:order val="2"/>
          <c:spPr>
            <a:ln>
              <a:noFill/>
            </a:ln>
          </c:spPr>
          <c:marker>
            <c:symbol val="triangle"/>
            <c:size val="16"/>
            <c:spPr>
              <a:solidFill>
                <a:srgbClr val="FFFF00"/>
              </a:solidFill>
              <a:ln>
                <a:solidFill>
                  <a:schemeClr val="tx1"/>
                </a:solidFill>
              </a:ln>
            </c:spPr>
          </c:marker>
          <c:xVal>
            <c:numRef>
              <c:f>'End-member comp calcs'!$BK$15:$BK$26</c:f>
              <c:numCache>
                <c:formatCode>General</c:formatCode>
                <c:ptCount val="12"/>
                <c:pt idx="0">
                  <c:v>0</c:v>
                </c:pt>
                <c:pt idx="1">
                  <c:v>0.19245008972987523</c:v>
                </c:pt>
                <c:pt idx="2">
                  <c:v>0</c:v>
                </c:pt>
                <c:pt idx="3">
                  <c:v>0</c:v>
                </c:pt>
                <c:pt idx="4">
                  <c:v>0.19245008972987523</c:v>
                </c:pt>
                <c:pt idx="5">
                  <c:v>0.28867513459481287</c:v>
                </c:pt>
                <c:pt idx="6">
                  <c:v>0.57735026918962573</c:v>
                </c:pt>
                <c:pt idx="7">
                  <c:v>0</c:v>
                </c:pt>
                <c:pt idx="8">
                  <c:v>0.57735026918962573</c:v>
                </c:pt>
                <c:pt idx="9">
                  <c:v>0.57735026918962573</c:v>
                </c:pt>
                <c:pt idx="10">
                  <c:v>0.57735026918962573</c:v>
                </c:pt>
                <c:pt idx="11">
                  <c:v>0.28867513459481287</c:v>
                </c:pt>
              </c:numCache>
            </c:numRef>
          </c:xVal>
          <c:yVal>
            <c:numRef>
              <c:f>'End-member comp calcs'!$BL$15:$BL$26</c:f>
              <c:numCache>
                <c:formatCode>General</c:formatCode>
                <c:ptCount val="12"/>
                <c:pt idx="0">
                  <c:v>0</c:v>
                </c:pt>
                <c:pt idx="1">
                  <c:v>0.33333333333333331</c:v>
                </c:pt>
                <c:pt idx="2">
                  <c:v>0</c:v>
                </c:pt>
                <c:pt idx="3">
                  <c:v>0</c:v>
                </c:pt>
                <c:pt idx="4">
                  <c:v>0.33333333333333331</c:v>
                </c:pt>
                <c:pt idx="5">
                  <c:v>0.5</c:v>
                </c:pt>
                <c:pt idx="6">
                  <c:v>0</c:v>
                </c:pt>
                <c:pt idx="7">
                  <c:v>0</c:v>
                </c:pt>
                <c:pt idx="8">
                  <c:v>1</c:v>
                </c:pt>
                <c:pt idx="9">
                  <c:v>1</c:v>
                </c:pt>
                <c:pt idx="10">
                  <c:v>1</c:v>
                </c:pt>
                <c:pt idx="11">
                  <c:v>0.5</c:v>
                </c:pt>
              </c:numCache>
            </c:numRef>
          </c:yVal>
          <c:smooth val="0"/>
          <c:extLst>
            <c:ext xmlns:c16="http://schemas.microsoft.com/office/drawing/2014/chart" uri="{C3380CC4-5D6E-409C-BE32-E72D297353CC}">
              <c16:uniqueId val="{00000002-88FB-9944-A85A-3D4A4FF306F1}"/>
            </c:ext>
          </c:extLst>
        </c:ser>
        <c:dLbls>
          <c:showLegendKey val="0"/>
          <c:showVal val="0"/>
          <c:showCatName val="0"/>
          <c:showSerName val="0"/>
          <c:showPercent val="0"/>
          <c:showBubbleSize val="0"/>
        </c:dLbls>
        <c:axId val="1895077448"/>
        <c:axId val="1895674680"/>
      </c:scatterChart>
      <c:valAx>
        <c:axId val="1895077448"/>
        <c:scaling>
          <c:orientation val="minMax"/>
        </c:scaling>
        <c:delete val="1"/>
        <c:axPos val="b"/>
        <c:numFmt formatCode="General" sourceLinked="1"/>
        <c:majorTickMark val="out"/>
        <c:minorTickMark val="none"/>
        <c:tickLblPos val="nextTo"/>
        <c:crossAx val="1895674680"/>
        <c:crosses val="autoZero"/>
        <c:crossBetween val="midCat"/>
      </c:valAx>
      <c:valAx>
        <c:axId val="1895674680"/>
        <c:scaling>
          <c:orientation val="minMax"/>
          <c:min val="0"/>
        </c:scaling>
        <c:delete val="1"/>
        <c:axPos val="l"/>
        <c:numFmt formatCode="General" sourceLinked="1"/>
        <c:majorTickMark val="out"/>
        <c:minorTickMark val="none"/>
        <c:tickLblPos val="nextTo"/>
        <c:crossAx val="1895077448"/>
        <c:crosses val="autoZero"/>
        <c:crossBetween val="midCat"/>
      </c:valAx>
      <c:spPr>
        <a:ln>
          <a:noFill/>
        </a:ln>
      </c:spPr>
    </c:plotArea>
    <c:plotVisOnly val="1"/>
    <c:dispBlanksAs val="gap"/>
    <c:showDLblsOverMax val="0"/>
  </c:chart>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125841180386775"/>
          <c:y val="0.110869565217391"/>
          <c:w val="0.75275909265186602"/>
          <c:h val="0.75434782608695605"/>
        </c:manualLayout>
      </c:layout>
      <c:scatterChart>
        <c:scatterStyle val="lineMarker"/>
        <c:varyColors val="0"/>
        <c:ser>
          <c:idx val="0"/>
          <c:order val="0"/>
          <c:spPr>
            <a:ln w="25400">
              <a:solidFill>
                <a:schemeClr val="tx1"/>
              </a:solidFill>
            </a:ln>
          </c:spPr>
          <c:marker>
            <c:symbol val="none"/>
          </c:marker>
          <c:xVal>
            <c:numRef>
              <c:f>'Amph exchg components'!$AI$5:$AI$9</c:f>
              <c:numCache>
                <c:formatCode>General</c:formatCode>
                <c:ptCount val="5"/>
                <c:pt idx="0">
                  <c:v>0</c:v>
                </c:pt>
                <c:pt idx="1">
                  <c:v>1.1547005383792515</c:v>
                </c:pt>
                <c:pt idx="2">
                  <c:v>0.57735026918962573</c:v>
                </c:pt>
                <c:pt idx="3">
                  <c:v>0.57735026918962573</c:v>
                </c:pt>
                <c:pt idx="4">
                  <c:v>0</c:v>
                </c:pt>
              </c:numCache>
            </c:numRef>
          </c:xVal>
          <c:yVal>
            <c:numRef>
              <c:f>'Amph exchg components'!$AJ$5:$AJ$9</c:f>
              <c:numCache>
                <c:formatCode>General</c:formatCode>
                <c:ptCount val="5"/>
                <c:pt idx="0">
                  <c:v>0</c:v>
                </c:pt>
                <c:pt idx="1">
                  <c:v>0</c:v>
                </c:pt>
                <c:pt idx="2">
                  <c:v>1</c:v>
                </c:pt>
                <c:pt idx="3">
                  <c:v>1</c:v>
                </c:pt>
                <c:pt idx="4">
                  <c:v>0</c:v>
                </c:pt>
              </c:numCache>
            </c:numRef>
          </c:yVal>
          <c:smooth val="0"/>
          <c:extLst>
            <c:ext xmlns:c16="http://schemas.microsoft.com/office/drawing/2014/chart" uri="{C3380CC4-5D6E-409C-BE32-E72D297353CC}">
              <c16:uniqueId val="{00000000-618D-2544-8C4C-BA83D072E615}"/>
            </c:ext>
          </c:extLst>
        </c:ser>
        <c:ser>
          <c:idx val="1"/>
          <c:order val="1"/>
          <c:spPr>
            <a:ln>
              <a:noFill/>
            </a:ln>
          </c:spPr>
          <c:marker>
            <c:symbol val="square"/>
            <c:size val="15"/>
          </c:marker>
          <c:xVal>
            <c:numRef>
              <c:f>'Amph exchg components'!$BR$15:$BR$36</c:f>
              <c:numCache>
                <c:formatCode>General</c:formatCode>
                <c:ptCount val="22"/>
                <c:pt idx="0">
                  <c:v>0.12226528277371904</c:v>
                </c:pt>
                <c:pt idx="1">
                  <c:v>0.11069903755025319</c:v>
                </c:pt>
                <c:pt idx="2">
                  <c:v>0.12383709091351171</c:v>
                </c:pt>
                <c:pt idx="3">
                  <c:v>0.11203881380350825</c:v>
                </c:pt>
                <c:pt idx="4">
                  <c:v>0.10928827196041682</c:v>
                </c:pt>
                <c:pt idx="5">
                  <c:v>0.11350938722288925</c:v>
                </c:pt>
                <c:pt idx="6">
                  <c:v>0.11525381605615248</c:v>
                </c:pt>
                <c:pt idx="7">
                  <c:v>0.11109522128414241</c:v>
                </c:pt>
                <c:pt idx="8">
                  <c:v>0.11954669819953129</c:v>
                </c:pt>
                <c:pt idx="9">
                  <c:v>0.15300087072329549</c:v>
                </c:pt>
                <c:pt idx="10">
                  <c:v>0.15240572850207834</c:v>
                </c:pt>
                <c:pt idx="11">
                  <c:v>0.15301590672220752</c:v>
                </c:pt>
                <c:pt idx="12">
                  <c:v>0.12226528277371904</c:v>
                </c:pt>
                <c:pt idx="13">
                  <c:v>0.11069903755025319</c:v>
                </c:pt>
                <c:pt idx="14">
                  <c:v>0.12383709091351171</c:v>
                </c:pt>
                <c:pt idx="15">
                  <c:v>5.40235396908961E-2</c:v>
                </c:pt>
                <c:pt idx="16">
                  <c:v>4.7059920404395245E-2</c:v>
                </c:pt>
                <c:pt idx="17">
                  <c:v>4.7059920404395245E-2</c:v>
                </c:pt>
                <c:pt idx="18">
                  <c:v>4.9976006637209844E-2</c:v>
                </c:pt>
                <c:pt idx="19">
                  <c:v>5.1045363846122863E-2</c:v>
                </c:pt>
                <c:pt idx="20">
                  <c:v>0.12520664592365177</c:v>
                </c:pt>
                <c:pt idx="21">
                  <c:v>3.5843511932105374E-2</c:v>
                </c:pt>
              </c:numCache>
            </c:numRef>
          </c:xVal>
          <c:yVal>
            <c:numRef>
              <c:f>'Amph exchg components'!$BS$15:$BS$36</c:f>
              <c:numCache>
                <c:formatCode>General</c:formatCode>
                <c:ptCount val="22"/>
                <c:pt idx="0">
                  <c:v>9.6277759973408789E-2</c:v>
                </c:pt>
                <c:pt idx="1">
                  <c:v>8.7329615217769302E-2</c:v>
                </c:pt>
                <c:pt idx="2">
                  <c:v>8.5681736882921175E-2</c:v>
                </c:pt>
                <c:pt idx="3">
                  <c:v>6.9422287656354831E-2</c:v>
                </c:pt>
                <c:pt idx="4">
                  <c:v>7.1177668916304823E-2</c:v>
                </c:pt>
                <c:pt idx="5">
                  <c:v>6.3162071665994163E-2</c:v>
                </c:pt>
                <c:pt idx="6">
                  <c:v>7.1502961511530502E-2</c:v>
                </c:pt>
                <c:pt idx="7">
                  <c:v>8.4768853502306341E-2</c:v>
                </c:pt>
                <c:pt idx="8">
                  <c:v>6.7155756690064766E-2</c:v>
                </c:pt>
                <c:pt idx="9">
                  <c:v>0.12170424554237515</c:v>
                </c:pt>
                <c:pt idx="10">
                  <c:v>0.12991216881398571</c:v>
                </c:pt>
                <c:pt idx="11">
                  <c:v>0.112880625643255</c:v>
                </c:pt>
                <c:pt idx="12">
                  <c:v>9.6277759973408789E-2</c:v>
                </c:pt>
                <c:pt idx="13">
                  <c:v>8.7329615217769302E-2</c:v>
                </c:pt>
                <c:pt idx="14">
                  <c:v>8.5681736882921175E-2</c:v>
                </c:pt>
                <c:pt idx="15">
                  <c:v>6.9989628956689698E-2</c:v>
                </c:pt>
                <c:pt idx="16">
                  <c:v>5.9584797090543658E-2</c:v>
                </c:pt>
                <c:pt idx="17">
                  <c:v>5.9584797090543658E-2</c:v>
                </c:pt>
                <c:pt idx="18">
                  <c:v>6.2406813556303189E-2</c:v>
                </c:pt>
                <c:pt idx="19">
                  <c:v>6.4609023212525402E-2</c:v>
                </c:pt>
                <c:pt idx="20">
                  <c:v>0.18019189122714172</c:v>
                </c:pt>
                <c:pt idx="21">
                  <c:v>6.0310489797944365E-2</c:v>
                </c:pt>
              </c:numCache>
            </c:numRef>
          </c:yVal>
          <c:smooth val="0"/>
          <c:extLst>
            <c:ext xmlns:c16="http://schemas.microsoft.com/office/drawing/2014/chart" uri="{C3380CC4-5D6E-409C-BE32-E72D297353CC}">
              <c16:uniqueId val="{00000001-618D-2544-8C4C-BA83D072E615}"/>
            </c:ext>
          </c:extLst>
        </c:ser>
        <c:ser>
          <c:idx val="2"/>
          <c:order val="2"/>
          <c:spPr>
            <a:ln>
              <a:noFill/>
            </a:ln>
          </c:spPr>
          <c:marker>
            <c:symbol val="triangle"/>
            <c:size val="16"/>
            <c:spPr>
              <a:solidFill>
                <a:srgbClr val="FFFF00"/>
              </a:solidFill>
              <a:ln>
                <a:solidFill>
                  <a:schemeClr val="tx1"/>
                </a:solidFill>
              </a:ln>
            </c:spPr>
          </c:marker>
          <c:xVal>
            <c:numRef>
              <c:f>'End-member comp calcs'!$BR$15:$BR$26</c:f>
              <c:numCache>
                <c:formatCode>General</c:formatCode>
                <c:ptCount val="12"/>
                <c:pt idx="0">
                  <c:v>0</c:v>
                </c:pt>
                <c:pt idx="1">
                  <c:v>0.19245008972987523</c:v>
                </c:pt>
                <c:pt idx="2">
                  <c:v>0.57735026918962573</c:v>
                </c:pt>
                <c:pt idx="3">
                  <c:v>0</c:v>
                </c:pt>
                <c:pt idx="4">
                  <c:v>0.19245008972987523</c:v>
                </c:pt>
                <c:pt idx="5">
                  <c:v>0.28867513459481287</c:v>
                </c:pt>
                <c:pt idx="6">
                  <c:v>0</c:v>
                </c:pt>
                <c:pt idx="7">
                  <c:v>0</c:v>
                </c:pt>
                <c:pt idx="8">
                  <c:v>0.57735026918962573</c:v>
                </c:pt>
                <c:pt idx="9">
                  <c:v>0.57735026918962573</c:v>
                </c:pt>
                <c:pt idx="10">
                  <c:v>0.96225044864937614</c:v>
                </c:pt>
                <c:pt idx="11">
                  <c:v>0.28867513459481287</c:v>
                </c:pt>
              </c:numCache>
            </c:numRef>
          </c:xVal>
          <c:yVal>
            <c:numRef>
              <c:f>'End-member comp calcs'!$BS$15:$BS$26</c:f>
              <c:numCache>
                <c:formatCode>General</c:formatCode>
                <c:ptCount val="12"/>
                <c:pt idx="0">
                  <c:v>0</c:v>
                </c:pt>
                <c:pt idx="1">
                  <c:v>0.33333333333333331</c:v>
                </c:pt>
                <c:pt idx="2">
                  <c:v>0</c:v>
                </c:pt>
                <c:pt idx="3">
                  <c:v>0</c:v>
                </c:pt>
                <c:pt idx="4">
                  <c:v>0.33333333333333331</c:v>
                </c:pt>
                <c:pt idx="5">
                  <c:v>0.5</c:v>
                </c:pt>
                <c:pt idx="6">
                  <c:v>0</c:v>
                </c:pt>
                <c:pt idx="7">
                  <c:v>0</c:v>
                </c:pt>
                <c:pt idx="8">
                  <c:v>1</c:v>
                </c:pt>
                <c:pt idx="9">
                  <c:v>1</c:v>
                </c:pt>
                <c:pt idx="10">
                  <c:v>0.33333333333333331</c:v>
                </c:pt>
                <c:pt idx="11">
                  <c:v>0.5</c:v>
                </c:pt>
              </c:numCache>
            </c:numRef>
          </c:yVal>
          <c:smooth val="0"/>
          <c:extLst>
            <c:ext xmlns:c16="http://schemas.microsoft.com/office/drawing/2014/chart" uri="{C3380CC4-5D6E-409C-BE32-E72D297353CC}">
              <c16:uniqueId val="{00000002-618D-2544-8C4C-BA83D072E615}"/>
            </c:ext>
          </c:extLst>
        </c:ser>
        <c:dLbls>
          <c:showLegendKey val="0"/>
          <c:showVal val="0"/>
          <c:showCatName val="0"/>
          <c:showSerName val="0"/>
          <c:showPercent val="0"/>
          <c:showBubbleSize val="0"/>
        </c:dLbls>
        <c:axId val="-1997143896"/>
        <c:axId val="-2079359640"/>
      </c:scatterChart>
      <c:valAx>
        <c:axId val="-1997143896"/>
        <c:scaling>
          <c:orientation val="minMax"/>
          <c:max val="1.2"/>
          <c:min val="0"/>
        </c:scaling>
        <c:delete val="1"/>
        <c:axPos val="b"/>
        <c:numFmt formatCode="General" sourceLinked="1"/>
        <c:majorTickMark val="out"/>
        <c:minorTickMark val="none"/>
        <c:tickLblPos val="nextTo"/>
        <c:crossAx val="-2079359640"/>
        <c:crosses val="autoZero"/>
        <c:crossBetween val="midCat"/>
      </c:valAx>
      <c:valAx>
        <c:axId val="-2079359640"/>
        <c:scaling>
          <c:orientation val="minMax"/>
          <c:max val="1"/>
        </c:scaling>
        <c:delete val="1"/>
        <c:axPos val="l"/>
        <c:numFmt formatCode="General" sourceLinked="1"/>
        <c:majorTickMark val="out"/>
        <c:minorTickMark val="none"/>
        <c:tickLblPos val="nextTo"/>
        <c:crossAx val="-1997143896"/>
        <c:crosses val="autoZero"/>
        <c:crossBetween val="midCat"/>
      </c:valAx>
      <c:spPr>
        <a:ln>
          <a:noFill/>
        </a:ln>
      </c:spPr>
    </c:plotArea>
    <c:plotVisOnly val="1"/>
    <c:dispBlanksAs val="gap"/>
    <c:showDLblsOverMax val="0"/>
  </c:chart>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11251682011052801"/>
          <c:y val="0"/>
          <c:w val="0.79273217348060598"/>
          <c:h val="0.85869565217391297"/>
        </c:manualLayout>
      </c:layout>
      <c:scatterChart>
        <c:scatterStyle val="lineMarker"/>
        <c:varyColors val="0"/>
        <c:ser>
          <c:idx val="0"/>
          <c:order val="0"/>
          <c:spPr>
            <a:ln w="25400">
              <a:solidFill>
                <a:schemeClr val="tx1"/>
              </a:solidFill>
            </a:ln>
          </c:spPr>
          <c:marker>
            <c:symbol val="none"/>
          </c:marker>
          <c:xVal>
            <c:numRef>
              <c:f>'Amph exchg components'!$AI$5:$AI$9</c:f>
              <c:numCache>
                <c:formatCode>General</c:formatCode>
                <c:ptCount val="5"/>
                <c:pt idx="0">
                  <c:v>0</c:v>
                </c:pt>
                <c:pt idx="1">
                  <c:v>1.1547005383792515</c:v>
                </c:pt>
                <c:pt idx="2">
                  <c:v>0.57735026918962573</c:v>
                </c:pt>
                <c:pt idx="3">
                  <c:v>0.57735026918962573</c:v>
                </c:pt>
                <c:pt idx="4">
                  <c:v>0</c:v>
                </c:pt>
              </c:numCache>
            </c:numRef>
          </c:xVal>
          <c:yVal>
            <c:numRef>
              <c:f>'Amph exchg components'!$AJ$5:$AJ$9</c:f>
              <c:numCache>
                <c:formatCode>General</c:formatCode>
                <c:ptCount val="5"/>
                <c:pt idx="0">
                  <c:v>0</c:v>
                </c:pt>
                <c:pt idx="1">
                  <c:v>0</c:v>
                </c:pt>
                <c:pt idx="2">
                  <c:v>1</c:v>
                </c:pt>
                <c:pt idx="3">
                  <c:v>1</c:v>
                </c:pt>
                <c:pt idx="4">
                  <c:v>0</c:v>
                </c:pt>
              </c:numCache>
            </c:numRef>
          </c:yVal>
          <c:smooth val="0"/>
          <c:extLst>
            <c:ext xmlns:c16="http://schemas.microsoft.com/office/drawing/2014/chart" uri="{C3380CC4-5D6E-409C-BE32-E72D297353CC}">
              <c16:uniqueId val="{00000000-0BCA-5B4B-80A2-8787C63AEECC}"/>
            </c:ext>
          </c:extLst>
        </c:ser>
        <c:ser>
          <c:idx val="1"/>
          <c:order val="1"/>
          <c:spPr>
            <a:ln>
              <a:noFill/>
            </a:ln>
          </c:spPr>
          <c:marker>
            <c:symbol val="square"/>
            <c:size val="15"/>
          </c:marker>
          <c:xVal>
            <c:numRef>
              <c:f>'Amph exchg components'!$BY$15:$BY$36</c:f>
              <c:numCache>
                <c:formatCode>General</c:formatCode>
                <c:ptCount val="22"/>
                <c:pt idx="0">
                  <c:v>0.23222108671888281</c:v>
                </c:pt>
                <c:pt idx="1">
                  <c:v>0.23782150643437586</c:v>
                </c:pt>
                <c:pt idx="2">
                  <c:v>0.20914922856467844</c:v>
                </c:pt>
                <c:pt idx="3">
                  <c:v>0.22370708232794895</c:v>
                </c:pt>
                <c:pt idx="4">
                  <c:v>0.23114920281194359</c:v>
                </c:pt>
                <c:pt idx="5">
                  <c:v>0.21126072932039194</c:v>
                </c:pt>
                <c:pt idx="6">
                  <c:v>0.22762561318455682</c:v>
                </c:pt>
                <c:pt idx="7">
                  <c:v>0.24338359182037156</c:v>
                </c:pt>
                <c:pt idx="8">
                  <c:v>0.22036613691477996</c:v>
                </c:pt>
                <c:pt idx="9">
                  <c:v>0.26539696532221552</c:v>
                </c:pt>
                <c:pt idx="10">
                  <c:v>0.26296040212348237</c:v>
                </c:pt>
                <c:pt idx="11">
                  <c:v>0.27224993832671252</c:v>
                </c:pt>
                <c:pt idx="12">
                  <c:v>0.23222108671888281</c:v>
                </c:pt>
                <c:pt idx="13">
                  <c:v>0.23782150643437586</c:v>
                </c:pt>
                <c:pt idx="14">
                  <c:v>0.20914922856467844</c:v>
                </c:pt>
                <c:pt idx="15">
                  <c:v>0.15734912785171154</c:v>
                </c:pt>
                <c:pt idx="16">
                  <c:v>0.1401077053494631</c:v>
                </c:pt>
                <c:pt idx="17">
                  <c:v>0.1401077053494631</c:v>
                </c:pt>
                <c:pt idx="18">
                  <c:v>0.14047449098327816</c:v>
                </c:pt>
                <c:pt idx="19">
                  <c:v>0.1295685199919267</c:v>
                </c:pt>
                <c:pt idx="20">
                  <c:v>0.30702504886443349</c:v>
                </c:pt>
                <c:pt idx="21">
                  <c:v>2.1981377460345175E-2</c:v>
                </c:pt>
              </c:numCache>
            </c:numRef>
          </c:xVal>
          <c:yVal>
            <c:numRef>
              <c:f>'Amph exchg components'!$BZ$15:$BZ$36</c:f>
              <c:numCache>
                <c:formatCode>General</c:formatCode>
                <c:ptCount val="22"/>
                <c:pt idx="0">
                  <c:v>8.6024043391726659E-2</c:v>
                </c:pt>
                <c:pt idx="1">
                  <c:v>7.6695955894130391E-2</c:v>
                </c:pt>
                <c:pt idx="2">
                  <c:v>7.859089265023754E-2</c:v>
                </c:pt>
                <c:pt idx="3">
                  <c:v>6.1987214058783977E-2</c:v>
                </c:pt>
                <c:pt idx="4">
                  <c:v>6.2880677127892415E-2</c:v>
                </c:pt>
                <c:pt idx="5">
                  <c:v>5.7232154505103543E-2</c:v>
                </c:pt>
                <c:pt idx="6">
                  <c:v>6.3772968128996896E-2</c:v>
                </c:pt>
                <c:pt idx="7">
                  <c:v>7.4023475610539208E-2</c:v>
                </c:pt>
                <c:pt idx="8">
                  <c:v>6.0615080866638707E-2</c:v>
                </c:pt>
                <c:pt idx="9">
                  <c:v>0.10804837409032511</c:v>
                </c:pt>
                <c:pt idx="10">
                  <c:v>0.11558265490136854</c:v>
                </c:pt>
                <c:pt idx="11">
                  <c:v>9.9444049239742482E-2</c:v>
                </c:pt>
                <c:pt idx="12">
                  <c:v>8.6024043391726659E-2</c:v>
                </c:pt>
                <c:pt idx="13">
                  <c:v>7.6695955894130391E-2</c:v>
                </c:pt>
                <c:pt idx="14">
                  <c:v>7.859089265023754E-2</c:v>
                </c:pt>
                <c:pt idx="15">
                  <c:v>6.3419382112497411E-2</c:v>
                </c:pt>
                <c:pt idx="16">
                  <c:v>5.4579352819446814E-2</c:v>
                </c:pt>
                <c:pt idx="17">
                  <c:v>5.4579352819446814E-2</c:v>
                </c:pt>
                <c:pt idx="18">
                  <c:v>5.7294478419862245E-2</c:v>
                </c:pt>
                <c:pt idx="19">
                  <c:v>6.0012202996200928E-2</c:v>
                </c:pt>
                <c:pt idx="20">
                  <c:v>0.14836829117872191</c:v>
                </c:pt>
                <c:pt idx="21">
                  <c:v>6.1057709594464382E-2</c:v>
                </c:pt>
              </c:numCache>
            </c:numRef>
          </c:yVal>
          <c:smooth val="0"/>
          <c:extLst>
            <c:ext xmlns:c16="http://schemas.microsoft.com/office/drawing/2014/chart" uri="{C3380CC4-5D6E-409C-BE32-E72D297353CC}">
              <c16:uniqueId val="{00000001-0BCA-5B4B-80A2-8787C63AEECC}"/>
            </c:ext>
          </c:extLst>
        </c:ser>
        <c:ser>
          <c:idx val="2"/>
          <c:order val="2"/>
          <c:spPr>
            <a:ln>
              <a:noFill/>
            </a:ln>
          </c:spPr>
          <c:marker>
            <c:symbol val="triangle"/>
            <c:size val="16"/>
            <c:spPr>
              <a:solidFill>
                <a:srgbClr val="FFFF00"/>
              </a:solidFill>
              <a:ln>
                <a:solidFill>
                  <a:schemeClr val="tx1"/>
                </a:solidFill>
              </a:ln>
            </c:spPr>
          </c:marker>
          <c:xVal>
            <c:numRef>
              <c:f>'End-member comp calcs'!$BY$15:$BY$26</c:f>
              <c:numCache>
                <c:formatCode>General</c:formatCode>
                <c:ptCount val="12"/>
                <c:pt idx="0">
                  <c:v>1.0103629710818449</c:v>
                </c:pt>
                <c:pt idx="1">
                  <c:v>0.74230748895809018</c:v>
                </c:pt>
                <c:pt idx="2">
                  <c:v>0.57735026918962573</c:v>
                </c:pt>
                <c:pt idx="3">
                  <c:v>0</c:v>
                </c:pt>
                <c:pt idx="4">
                  <c:v>0.57735026918962573</c:v>
                </c:pt>
                <c:pt idx="5">
                  <c:v>0.28867513459481287</c:v>
                </c:pt>
                <c:pt idx="6">
                  <c:v>0</c:v>
                </c:pt>
                <c:pt idx="7">
                  <c:v>0</c:v>
                </c:pt>
                <c:pt idx="8">
                  <c:v>0.57735026918962573</c:v>
                </c:pt>
                <c:pt idx="9">
                  <c:v>0.96225044864937614</c:v>
                </c:pt>
                <c:pt idx="10">
                  <c:v>0.96225044864937614</c:v>
                </c:pt>
                <c:pt idx="11">
                  <c:v>0.57735026918962573</c:v>
                </c:pt>
              </c:numCache>
            </c:numRef>
          </c:xVal>
          <c:yVal>
            <c:numRef>
              <c:f>'End-member comp calcs'!$BZ$15:$BZ$26</c:f>
              <c:numCache>
                <c:formatCode>General</c:formatCode>
                <c:ptCount val="12"/>
                <c:pt idx="0">
                  <c:v>-0.25</c:v>
                </c:pt>
                <c:pt idx="1">
                  <c:v>0.14285714285714285</c:v>
                </c:pt>
                <c:pt idx="2">
                  <c:v>0</c:v>
                </c:pt>
                <c:pt idx="3">
                  <c:v>0</c:v>
                </c:pt>
                <c:pt idx="4">
                  <c:v>0.2</c:v>
                </c:pt>
                <c:pt idx="5">
                  <c:v>0.5</c:v>
                </c:pt>
                <c:pt idx="6">
                  <c:v>0</c:v>
                </c:pt>
                <c:pt idx="7">
                  <c:v>0</c:v>
                </c:pt>
                <c:pt idx="8">
                  <c:v>1</c:v>
                </c:pt>
                <c:pt idx="9">
                  <c:v>0.33333333333333331</c:v>
                </c:pt>
                <c:pt idx="10">
                  <c:v>0.33333333333333331</c:v>
                </c:pt>
                <c:pt idx="11">
                  <c:v>0.33333333333333331</c:v>
                </c:pt>
              </c:numCache>
            </c:numRef>
          </c:yVal>
          <c:smooth val="0"/>
          <c:extLst>
            <c:ext xmlns:c16="http://schemas.microsoft.com/office/drawing/2014/chart" uri="{C3380CC4-5D6E-409C-BE32-E72D297353CC}">
              <c16:uniqueId val="{00000002-0BCA-5B4B-80A2-8787C63AEECC}"/>
            </c:ext>
          </c:extLst>
        </c:ser>
        <c:dLbls>
          <c:showLegendKey val="0"/>
          <c:showVal val="0"/>
          <c:showCatName val="0"/>
          <c:showSerName val="0"/>
          <c:showPercent val="0"/>
          <c:showBubbleSize val="0"/>
        </c:dLbls>
        <c:axId val="1830981144"/>
        <c:axId val="1831128872"/>
      </c:scatterChart>
      <c:valAx>
        <c:axId val="1830981144"/>
        <c:scaling>
          <c:orientation val="minMax"/>
        </c:scaling>
        <c:delete val="1"/>
        <c:axPos val="b"/>
        <c:numFmt formatCode="General" sourceLinked="1"/>
        <c:majorTickMark val="out"/>
        <c:minorTickMark val="none"/>
        <c:tickLblPos val="nextTo"/>
        <c:crossAx val="1831128872"/>
        <c:crosses val="autoZero"/>
        <c:crossBetween val="midCat"/>
      </c:valAx>
      <c:valAx>
        <c:axId val="1831128872"/>
        <c:scaling>
          <c:orientation val="minMax"/>
          <c:min val="0"/>
        </c:scaling>
        <c:delete val="1"/>
        <c:axPos val="l"/>
        <c:numFmt formatCode="General" sourceLinked="1"/>
        <c:majorTickMark val="out"/>
        <c:minorTickMark val="none"/>
        <c:tickLblPos val="nextTo"/>
        <c:crossAx val="1830981144"/>
        <c:crosses val="autoZero"/>
        <c:crossBetween val="midCat"/>
      </c:valAx>
      <c:spPr>
        <a:ln>
          <a:noFill/>
        </a:ln>
      </c:spPr>
    </c:plotArea>
    <c:plotVisOnly val="1"/>
    <c:dispBlanksAs val="gap"/>
    <c:showDLblsOverMax val="0"/>
  </c:chart>
  <c:userShapes r:id="rId1"/>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7.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9.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11.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13.xml"/></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15.xml"/></Relationships>
</file>

<file path=xl/chartsheets/_rels/sheet8.xml.rels><?xml version="1.0" encoding="UTF-8" standalone="yes"?>
<Relationships xmlns="http://schemas.openxmlformats.org/package/2006/relationships"><Relationship Id="rId1" Type="http://schemas.openxmlformats.org/officeDocument/2006/relationships/drawing" Target="../drawings/drawing17.xml"/></Relationships>
</file>

<file path=xl/chartsheets/_rels/sheet9.xml.rels><?xml version="1.0" encoding="UTF-8" standalone="yes"?>
<Relationships xmlns="http://schemas.openxmlformats.org/package/2006/relationships"><Relationship Id="rId1" Type="http://schemas.openxmlformats.org/officeDocument/2006/relationships/drawing" Target="../drawings/drawing19.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300-000000000000}">
  <sheetPr/>
  <sheetViews>
    <sheetView zoomScale="136" workbookViewId="0" zoomToFit="1"/>
  </sheetViews>
  <pageMargins left="0.75" right="0.75" top="1" bottom="1" header="0.5" footer="0.5"/>
  <pageSetup orientation="landscape" horizontalDpi="4294967292" verticalDpi="4294967292"/>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400-000000000000}">
  <sheetPr/>
  <sheetViews>
    <sheetView zoomScale="149" workbookViewId="0" zoomToFit="1"/>
  </sheetViews>
  <pageMargins left="0.75" right="0.75" top="1" bottom="1" header="0.5" footer="0.5"/>
  <pageSetup orientation="landscape" horizontalDpi="4294967292" verticalDpi="4294967292"/>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500-000000000000}">
  <sheetPr/>
  <sheetViews>
    <sheetView zoomScale="111" workbookViewId="0" zoomToFit="1"/>
  </sheetViews>
  <pageMargins left="0.75" right="0.75" top="1" bottom="1" header="0.5" footer="0.5"/>
  <pageSetup orientation="landscape" horizontalDpi="4294967292" verticalDpi="4294967292"/>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600-000000000000}">
  <sheetPr/>
  <sheetViews>
    <sheetView zoomScale="111" workbookViewId="0" zoomToFit="1"/>
  </sheetViews>
  <pageMargins left="0.75" right="0.75" top="1" bottom="1" header="0.5" footer="0.5"/>
  <pageSetup orientation="landscape" horizontalDpi="4294967292" verticalDpi="4294967292"/>
  <drawing r:id="rId1"/>
</chartsheet>
</file>

<file path=xl/chartsheets/sheet5.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700-000000000000}">
  <sheetPr/>
  <sheetViews>
    <sheetView zoomScale="149" workbookViewId="0" zoomToFit="1"/>
  </sheetViews>
  <pageMargins left="0.75" right="0.75" top="1" bottom="1" header="0.5" footer="0.5"/>
  <pageSetup orientation="landscape" horizontalDpi="4294967292" verticalDpi="4294967292"/>
  <drawing r:id="rId1"/>
</chartsheet>
</file>

<file path=xl/chartsheets/sheet6.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800-000000000000}">
  <sheetPr/>
  <sheetViews>
    <sheetView zoomScale="149" workbookViewId="0" zoomToFit="1"/>
  </sheetViews>
  <pageMargins left="0.75" right="0.75" top="1" bottom="1" header="0.5" footer="0.5"/>
  <pageSetup orientation="landscape" horizontalDpi="4294967292" verticalDpi="4294967292"/>
  <drawing r:id="rId1"/>
</chartsheet>
</file>

<file path=xl/chartsheets/sheet7.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900-000000000000}">
  <sheetPr/>
  <sheetViews>
    <sheetView zoomScale="149" workbookViewId="0" zoomToFit="1"/>
  </sheetViews>
  <pageMargins left="0.75" right="0.75" top="1" bottom="1" header="0.5" footer="0.5"/>
  <pageSetup orientation="landscape" horizontalDpi="4294967292" verticalDpi="4294967292"/>
  <drawing r:id="rId1"/>
</chartsheet>
</file>

<file path=xl/chartsheets/sheet8.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A00-000000000000}">
  <sheetPr/>
  <sheetViews>
    <sheetView zoomScale="149" workbookViewId="0" zoomToFit="1"/>
  </sheetViews>
  <pageMargins left="0.75" right="0.75" top="1" bottom="1" header="0.5" footer="0.5"/>
  <pageSetup orientation="landscape" horizontalDpi="4294967292" verticalDpi="4294967292"/>
  <drawing r:id="rId1"/>
</chartsheet>
</file>

<file path=xl/chartsheets/sheet9.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B00-000000000000}">
  <sheetPr/>
  <sheetViews>
    <sheetView zoomScale="149" workbookViewId="0" zoomToFit="1"/>
  </sheetViews>
  <pageMargins left="0.75" right="0.75" top="1" bottom="1" header="0.5" footer="0.5"/>
  <pageSetup orientation="landscape" horizontalDpi="4294967292" verticalDpi="4294967292"/>
  <drawing r:id="rId1"/>
</chartsheet>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9.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twoCellAnchor>
    <xdr:from>
      <xdr:col>0</xdr:col>
      <xdr:colOff>800100</xdr:colOff>
      <xdr:row>0</xdr:row>
      <xdr:rowOff>152400</xdr:rowOff>
    </xdr:from>
    <xdr:to>
      <xdr:col>13</xdr:col>
      <xdr:colOff>482600</xdr:colOff>
      <xdr:row>80</xdr:row>
      <xdr:rowOff>12700</xdr:rowOff>
    </xdr:to>
    <xdr:sp macro="" textlink="">
      <xdr:nvSpPr>
        <xdr:cNvPr id="2" name="TextBox 1">
          <a:extLst>
            <a:ext uri="{FF2B5EF4-FFF2-40B4-BE49-F238E27FC236}">
              <a16:creationId xmlns:a16="http://schemas.microsoft.com/office/drawing/2014/main" id="{00000000-0008-0000-0000-000002000000}"/>
            </a:ext>
          </a:extLst>
        </xdr:cNvPr>
        <xdr:cNvSpPr txBox="1">
          <a:spLocks noChangeArrowheads="1"/>
        </xdr:cNvSpPr>
      </xdr:nvSpPr>
      <xdr:spPr bwMode="auto">
        <a:xfrm>
          <a:off x="800100" y="152400"/>
          <a:ext cx="12065000" cy="15100300"/>
        </a:xfrm>
        <a:prstGeom prst="rect">
          <a:avLst/>
        </a:prstGeom>
        <a:solidFill>
          <a:srgbClr val="FFFFFF"/>
        </a:solidFill>
        <a:ln w="9525">
          <a:solidFill>
            <a:srgbClr val="BCBCBC"/>
          </a:solidFill>
          <a:miter lim="800000"/>
          <a:headEnd/>
          <a:tailEnd/>
        </a:ln>
      </xdr:spPr>
      <xdr:txBody>
        <a:bodyPr vertOverflow="clip" wrap="square" lIns="91440" tIns="45720" rIns="91440" bIns="45720" anchor="t"/>
        <a:lstStyle/>
        <a:p>
          <a:pPr algn="l" rtl="0">
            <a:defRPr sz="1000"/>
          </a:pPr>
          <a:r>
            <a:rPr lang="en-US" sz="2400" b="1" i="1" u="none" strike="noStrike" baseline="0">
              <a:solidFill>
                <a:srgbClr val="000000"/>
              </a:solidFill>
              <a:latin typeface="Calibri"/>
              <a:ea typeface="Calibri"/>
              <a:cs typeface="Calibri"/>
            </a:rPr>
            <a:t>Calculating Amphibole P-T Conditions and Components; Ternary Projections</a:t>
          </a:r>
        </a:p>
        <a:p>
          <a:pPr algn="l" rtl="0">
            <a:defRPr sz="1000"/>
          </a:pPr>
          <a:endParaRPr lang="en-US" sz="1800" b="0" i="0" u="none" strike="noStrike" baseline="0">
            <a:solidFill>
              <a:srgbClr val="000000"/>
            </a:solidFill>
            <a:latin typeface="Calibri"/>
            <a:ea typeface="Calibri"/>
            <a:cs typeface="Calibri"/>
          </a:endParaRPr>
        </a:p>
        <a:p>
          <a:pPr algn="l" rtl="0">
            <a:defRPr sz="1000"/>
          </a:pPr>
          <a:r>
            <a:rPr lang="en-US" sz="1400" b="0" i="0" u="none" strike="noStrike" baseline="0">
              <a:solidFill>
                <a:srgbClr val="000000"/>
              </a:solidFill>
              <a:latin typeface="Calibri"/>
              <a:ea typeface="Calibri"/>
              <a:cs typeface="Calibri"/>
            </a:rPr>
            <a:t>For details see: Putirka, K. (2016; American Mineralogist) </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800" b="1" i="1" u="none" strike="noStrike" baseline="0">
              <a:solidFill>
                <a:srgbClr val="000000"/>
              </a:solidFill>
              <a:latin typeface="Calibri"/>
              <a:ea typeface="Calibri"/>
              <a:cs typeface="Calibri"/>
            </a:rPr>
            <a:t>P-T and Tests for Equilibrium</a:t>
          </a:r>
          <a:endParaRPr lang="en-US" sz="1800" b="1" i="1" u="none" strike="noStrike" baseline="-25000">
            <a:solidFill>
              <a:srgbClr val="000000"/>
            </a:solidFill>
            <a:latin typeface="Calibri"/>
            <a:ea typeface="Calibri"/>
            <a:cs typeface="Calibri"/>
          </a:endParaRPr>
        </a:p>
        <a:p>
          <a:pPr algn="l" rtl="0">
            <a:defRPr sz="1000"/>
          </a:pPr>
          <a:r>
            <a:rPr lang="en-US" sz="1600" b="0" i="0" u="sng" strike="noStrike" baseline="0">
              <a:solidFill>
                <a:srgbClr val="000000"/>
              </a:solidFill>
              <a:latin typeface="Calibri"/>
              <a:ea typeface="Calibri"/>
              <a:cs typeface="Calibri"/>
            </a:rPr>
            <a:t>Use Worksheet: "Amphibole P-T Calcs"</a:t>
          </a:r>
        </a:p>
        <a:p>
          <a:pPr algn="l" rtl="0">
            <a:defRPr sz="1000"/>
          </a:pPr>
          <a:r>
            <a:rPr lang="en-US" sz="1400" b="0" i="0" u="none" strike="noStrike" baseline="0">
              <a:solidFill>
                <a:srgbClr val="000000"/>
              </a:solidFill>
              <a:latin typeface="Calibri"/>
              <a:ea typeface="Calibri"/>
              <a:cs typeface="Calibri"/>
            </a:rPr>
            <a:t>1) Input liquid compositions in columns F to Q and amphibole compositions in S to AB in Amphibole P-T Calcs sheet</a:t>
          </a:r>
        </a:p>
        <a:p>
          <a:pPr algn="l" rtl="0">
            <a:defRPr sz="1000"/>
          </a:pPr>
          <a:r>
            <a:rPr lang="en-US" sz="1400" b="0" i="0" u="none" strike="noStrike" baseline="0">
              <a:solidFill>
                <a:srgbClr val="000000"/>
              </a:solidFill>
              <a:latin typeface="Calibri"/>
              <a:ea typeface="Calibri"/>
              <a:cs typeface="Calibri"/>
            </a:rPr>
            <a:t>2) In the same sheet, enter a value for oxygen fugacity: the default </a:t>
          </a:r>
          <a:r>
            <a:rPr lang="en-US" sz="1400" b="0" i="1" u="none" strike="noStrike" baseline="0">
              <a:solidFill>
                <a:srgbClr val="000000"/>
              </a:solidFill>
              <a:latin typeface="Calibri"/>
              <a:ea typeface="Calibri"/>
              <a:cs typeface="Calibri"/>
            </a:rPr>
            <a:t>fO2 =</a:t>
          </a:r>
          <a:r>
            <a:rPr lang="en-US" sz="1400" b="0" i="0" u="none" strike="noStrike" baseline="0">
              <a:solidFill>
                <a:srgbClr val="000000"/>
              </a:solidFill>
              <a:latin typeface="Calibri"/>
              <a:ea typeface="Calibri"/>
              <a:cs typeface="Calibri"/>
            </a:rPr>
            <a:t> QFM (quartz + fayalite + magnetite).</a:t>
          </a:r>
        </a:p>
        <a:p>
          <a:pPr algn="l" rtl="0">
            <a:defRPr sz="1000"/>
          </a:pPr>
          <a:r>
            <a:rPr lang="en-US" sz="1400" b="0" i="0" u="none" strike="noStrike" baseline="0">
              <a:solidFill>
                <a:srgbClr val="000000"/>
              </a:solidFill>
              <a:latin typeface="Calibri"/>
              <a:ea typeface="Calibri"/>
              <a:cs typeface="Calibri"/>
            </a:rPr>
            <a:t>	THE </a:t>
          </a:r>
          <a:r>
            <a:rPr lang="en-US" sz="1400" b="0" i="1" u="none" strike="noStrike" baseline="0">
              <a:solidFill>
                <a:srgbClr val="000000"/>
              </a:solidFill>
              <a:latin typeface="Calibri"/>
              <a:ea typeface="Calibri"/>
              <a:cs typeface="Calibri"/>
            </a:rPr>
            <a:t>f</a:t>
          </a:r>
          <a:r>
            <a:rPr lang="en-US" sz="1400" b="0" i="0" u="none" strike="noStrike" baseline="0">
              <a:solidFill>
                <a:srgbClr val="000000"/>
              </a:solidFill>
              <a:latin typeface="Calibri"/>
              <a:ea typeface="Calibri"/>
              <a:cs typeface="Calibri"/>
            </a:rPr>
            <a:t>O</a:t>
          </a:r>
          <a:r>
            <a:rPr lang="en-US" sz="1400" b="0" i="0" u="none" strike="noStrike" baseline="-25000">
              <a:solidFill>
                <a:srgbClr val="000000"/>
              </a:solidFill>
              <a:latin typeface="Calibri"/>
              <a:ea typeface="Calibri"/>
              <a:cs typeface="Calibri"/>
            </a:rPr>
            <a:t>2</a:t>
          </a:r>
          <a:r>
            <a:rPr lang="en-US" sz="1400" b="0" i="0" u="none" strike="noStrike" baseline="0">
              <a:solidFill>
                <a:srgbClr val="000000"/>
              </a:solidFill>
              <a:latin typeface="+mn-lt"/>
              <a:ea typeface="Calibri"/>
              <a:cs typeface="Calibri"/>
            </a:rPr>
            <a:t> VALUE ONLY AFFECTS SITE OCCUPANCIES, IN COLUMNS FO-GQ. THE MODELS ARE CALIBRATED SO AS TO BE INDEPENDENT OF  fO2  AND Fe</a:t>
          </a:r>
          <a:r>
            <a:rPr lang="en-US" sz="1400" b="0" i="0" u="none" strike="noStrike" baseline="30000">
              <a:solidFill>
                <a:srgbClr val="000000"/>
              </a:solidFill>
              <a:latin typeface="+mn-lt"/>
              <a:ea typeface="Calibri"/>
              <a:cs typeface="Calibri"/>
            </a:rPr>
            <a:t>3+</a:t>
          </a:r>
          <a:r>
            <a:rPr lang="en-US" sz="1400" b="0" i="0" u="none" strike="noStrike" baseline="0">
              <a:solidFill>
                <a:srgbClr val="000000"/>
              </a:solidFill>
              <a:latin typeface="+mn-lt"/>
              <a:ea typeface="Calibri"/>
              <a:cs typeface="Calibri"/>
            </a:rPr>
            <a:t>/Fe</a:t>
          </a:r>
          <a:r>
            <a:rPr lang="en-US" sz="1400" b="0" i="0" u="none" strike="noStrike" baseline="30000">
              <a:solidFill>
                <a:srgbClr val="000000"/>
              </a:solidFill>
              <a:latin typeface="+mn-lt"/>
              <a:ea typeface="Calibri"/>
              <a:cs typeface="Calibri"/>
            </a:rPr>
            <a:t>2+ </a:t>
          </a:r>
          <a:r>
            <a:rPr lang="en-US" sz="1400" b="0" i="0" u="none" strike="noStrike" baseline="0">
              <a:solidFill>
                <a:srgbClr val="000000"/>
              </a:solidFill>
              <a:latin typeface="+mn-lt"/>
              <a:ea typeface="Calibri"/>
              <a:cs typeface="Calibri"/>
            </a:rPr>
            <a:t>RATIOS IN AMPHIBOLE AND LIQUID</a:t>
          </a:r>
        </a:p>
        <a:p>
          <a:pPr algn="l" rtl="0">
            <a:defRPr sz="1000"/>
          </a:pPr>
          <a:endParaRPr lang="en-US" sz="1400" b="0" i="0" u="none" strike="noStrike" baseline="0">
            <a:solidFill>
              <a:srgbClr val="000000"/>
            </a:solidFill>
            <a:latin typeface="+mn-lt"/>
            <a:ea typeface="Calibri"/>
            <a:cs typeface="Calibri"/>
          </a:endParaRPr>
        </a:p>
        <a:p>
          <a:pPr algn="l" rtl="0">
            <a:defRPr sz="1000"/>
          </a:pPr>
          <a:r>
            <a:rPr lang="en-US" sz="1600" b="0" i="0" u="sng" strike="noStrike" baseline="0">
              <a:solidFill>
                <a:srgbClr val="000000"/>
              </a:solidFill>
              <a:latin typeface="+mn-lt"/>
              <a:ea typeface="Calibri"/>
              <a:cs typeface="Calibri"/>
            </a:rPr>
            <a:t>You are done</a:t>
          </a:r>
          <a:r>
            <a:rPr lang="en-US" sz="1600" b="0" i="0" u="none" strike="noStrike" baseline="0">
              <a:solidFill>
                <a:srgbClr val="000000"/>
              </a:solidFill>
              <a:latin typeface="+mn-lt"/>
              <a:ea typeface="Calibri"/>
              <a:cs typeface="Calibri"/>
            </a:rPr>
            <a:t>. In the Amphibole P-T Calcs Sheet...</a:t>
          </a:r>
        </a:p>
        <a:p>
          <a:pPr algn="l" rtl="0">
            <a:defRPr sz="1000"/>
          </a:pPr>
          <a:r>
            <a:rPr lang="en-US" sz="1400" b="0" i="0" u="none" strike="noStrike" baseline="0">
              <a:solidFill>
                <a:srgbClr val="000000"/>
              </a:solidFill>
              <a:latin typeface="+mn-lt"/>
              <a:ea typeface="Calibri"/>
              <a:cs typeface="Calibri"/>
            </a:rPr>
            <a:t>(i) Tests of equilibrium are in columns AD and AF of Amphibole P-T Calcs sheet. The predicted liquid SiO</a:t>
          </a:r>
          <a:r>
            <a:rPr lang="en-US" sz="1400" b="0" i="0" u="none" strike="noStrike" baseline="-25000">
              <a:solidFill>
                <a:srgbClr val="000000"/>
              </a:solidFill>
              <a:latin typeface="+mn-lt"/>
              <a:ea typeface="Calibri"/>
              <a:cs typeface="Calibri"/>
            </a:rPr>
            <a:t>2 </a:t>
          </a:r>
          <a:r>
            <a:rPr lang="en-US" sz="1400" b="0" i="0" u="none" strike="noStrike" baseline="0">
              <a:solidFill>
                <a:srgbClr val="000000"/>
              </a:solidFill>
              <a:latin typeface="+mn-lt"/>
              <a:ea typeface="Calibri"/>
              <a:cs typeface="Calibri"/>
            </a:rPr>
            <a:t>content in column AF is calculated only from amphibole compositions and temperature. It  is just a rough indicator of what the liquid should be, since the error is about ±4 wt. %.</a:t>
          </a:r>
        </a:p>
        <a:p>
          <a:pPr algn="l" rtl="0">
            <a:defRPr sz="1000"/>
          </a:pPr>
          <a:r>
            <a:rPr lang="en-US" sz="1400" b="0" i="0" u="none" strike="noStrike" baseline="0">
              <a:solidFill>
                <a:srgbClr val="000000"/>
              </a:solidFill>
              <a:latin typeface="+mn-lt"/>
              <a:ea typeface="Calibri"/>
              <a:cs typeface="Calibri"/>
            </a:rPr>
            <a:t>(ii) Predicted P-T estimates are in columns AH to AS, using new models in Putirka (2016; Am Min)</a:t>
          </a:r>
        </a:p>
        <a:p>
          <a:pPr algn="l" rtl="0">
            <a:defRPr sz="1000"/>
          </a:pPr>
          <a:r>
            <a:rPr lang="en-US" sz="1400" b="0" i="0" u="none" strike="noStrike" baseline="0">
              <a:solidFill>
                <a:srgbClr val="000000"/>
              </a:solidFill>
              <a:latin typeface="+mn-lt"/>
              <a:ea typeface="Calibri"/>
              <a:cs typeface="Calibri"/>
            </a:rPr>
            <a:t>(iii) Note: tests for whether it is possible to apply Al-in-hornblende only models (columns BI to BP) are shown in column BH; this columns presents the two criteria noted by Anderson and Smith (1995), i.e., that T&lt;800 </a:t>
          </a:r>
          <a:r>
            <a:rPr lang="en-US" sz="1400" b="0" i="0" u="none" strike="noStrike" baseline="30000">
              <a:solidFill>
                <a:srgbClr val="000000"/>
              </a:solidFill>
              <a:latin typeface="+mn-lt"/>
              <a:ea typeface="Calibri"/>
              <a:cs typeface="Calibri"/>
            </a:rPr>
            <a:t>oC</a:t>
          </a:r>
          <a:r>
            <a:rPr lang="en-US" sz="1400" b="0" i="0" u="none" strike="noStrike" baseline="0">
              <a:solidFill>
                <a:srgbClr val="000000"/>
              </a:solidFill>
              <a:latin typeface="+mn-lt"/>
              <a:ea typeface="Calibri"/>
              <a:cs typeface="Calibri"/>
            </a:rPr>
            <a:t> and Fe#amph &lt;0.65.</a:t>
          </a:r>
          <a:endParaRPr lang="en-US" sz="1400" b="1" i="0" u="none" strike="noStrike" baseline="0">
            <a:solidFill>
              <a:srgbClr val="000000"/>
            </a:solidFill>
            <a:latin typeface="+mn-lt"/>
            <a:ea typeface="Calibri"/>
            <a:cs typeface="Calibri"/>
          </a:endParaRPr>
        </a:p>
        <a:p>
          <a:pPr algn="l" rtl="0">
            <a:defRPr sz="1000"/>
          </a:pPr>
          <a:endParaRPr lang="en-US" sz="1400" b="1" i="0" u="none" strike="noStrike" baseline="0">
            <a:solidFill>
              <a:srgbClr val="000000"/>
            </a:solidFill>
            <a:latin typeface="Calibri"/>
            <a:ea typeface="Calibri"/>
            <a:cs typeface="Calibri"/>
          </a:endParaRPr>
        </a:p>
        <a:p>
          <a:pPr algn="l" rtl="0">
            <a:defRPr sz="1000"/>
          </a:pPr>
          <a:r>
            <a:rPr lang="en-US" sz="1800" b="1" i="1" u="none" strike="noStrike" baseline="0">
              <a:solidFill>
                <a:srgbClr val="000000"/>
              </a:solidFill>
              <a:latin typeface="Calibri"/>
              <a:ea typeface="Calibri"/>
              <a:cs typeface="Calibri"/>
            </a:rPr>
            <a:t>Amphibole Components and Component Charts</a:t>
          </a:r>
        </a:p>
        <a:p>
          <a:pPr algn="l" rtl="0">
            <a:defRPr sz="1000"/>
          </a:pPr>
          <a:r>
            <a:rPr lang="en-US" sz="1600" b="0" i="0" u="sng" strike="noStrike" baseline="0">
              <a:solidFill>
                <a:srgbClr val="000000"/>
              </a:solidFill>
              <a:latin typeface="+mn-lt"/>
              <a:ea typeface="Calibri"/>
              <a:cs typeface="Calibri"/>
            </a:rPr>
            <a:t>In the Sheet "Amph exchg components"</a:t>
          </a:r>
        </a:p>
        <a:p>
          <a:pPr algn="l" rtl="0">
            <a:defRPr sz="1000"/>
          </a:pPr>
          <a:r>
            <a:rPr lang="en-US" sz="1400" b="0" i="0" u="none" strike="noStrike" baseline="0">
              <a:solidFill>
                <a:srgbClr val="000000"/>
              </a:solidFill>
              <a:latin typeface="+mn-lt"/>
              <a:ea typeface="Calibri"/>
              <a:cs typeface="Calibri"/>
            </a:rPr>
            <a:t>1) You need do nothing except fill down the rows in this sheet to match the numbers of rows in "Amphibole P-T Calcs"; this sheet transfers labels and key numerical values. </a:t>
          </a:r>
        </a:p>
        <a:p>
          <a:pPr algn="l" rtl="0">
            <a:defRPr sz="1000"/>
          </a:pPr>
          <a:r>
            <a:rPr lang="en-US" sz="1400" b="0" i="0" u="none" strike="noStrike" baseline="0">
              <a:solidFill>
                <a:srgbClr val="000000"/>
              </a:solidFill>
              <a:latin typeface="+mn-lt"/>
              <a:ea typeface="Calibri"/>
              <a:cs typeface="Calibri"/>
            </a:rPr>
            <a:t>2) This sheet takes cations on a 23 oxygen basis from "Amphibole P-T Calcs" sheet (columns ES-FC) and inserts those in columns CB to CL. These values are used to calculate a reduced set of cation fractions (columns CQ to CX) that are used as a row matrix, which is multiplied against the square matrix of cells U3 to AB10. These cells (U3 to AB10) are the inverse of the matrix in cells K3 to R10, and are used to transform cation fractions to exchange components, as indicated in the various headers. </a:t>
          </a:r>
        </a:p>
        <a:p>
          <a:pPr algn="l" rtl="0">
            <a:defRPr sz="1000"/>
          </a:pPr>
          <a:r>
            <a:rPr lang="en-US" sz="1400" b="0" i="0" u="none" strike="noStrike" baseline="0">
              <a:solidFill>
                <a:srgbClr val="000000"/>
              </a:solidFill>
              <a:latin typeface="+mn-lt"/>
              <a:ea typeface="Calibri"/>
              <a:cs typeface="Calibri"/>
            </a:rPr>
            <a:t>3) These exchange components are projected into three-component diagrams, listed as "Tri Plots" 1 through 8. The yellow triangles are end-member components, whose exchange components are calculated in the last sheet, titled "End-member Comp Calcs". </a:t>
          </a:r>
        </a:p>
        <a:p>
          <a:pPr algn="l" rtl="0">
            <a:defRPr sz="1000"/>
          </a:pPr>
          <a:endParaRPr lang="en-US" sz="1400" b="0" i="0" u="none" strike="noStrike" baseline="0">
            <a:solidFill>
              <a:srgbClr val="000000"/>
            </a:solidFill>
            <a:latin typeface="Calibri"/>
            <a:ea typeface="Calibri"/>
            <a:cs typeface="Calibri"/>
          </a:endParaRPr>
        </a:p>
        <a:p>
          <a:pPr algn="l" rtl="0">
            <a:defRPr sz="1000"/>
          </a:pPr>
          <a:r>
            <a:rPr lang="en-US" sz="2000" b="1" i="1" u="none" strike="noStrike" baseline="0">
              <a:solidFill>
                <a:srgbClr val="000000"/>
              </a:solidFill>
              <a:latin typeface="Calibri"/>
              <a:ea typeface="Calibri"/>
              <a:cs typeface="Calibri"/>
            </a:rPr>
            <a:t>Tips On Use</a:t>
          </a:r>
        </a:p>
        <a:p>
          <a:pPr algn="l" rtl="0">
            <a:defRPr sz="1000"/>
          </a:pPr>
          <a:r>
            <a:rPr lang="en-US" sz="1400" b="0" i="0" u="none" strike="noStrike" baseline="0">
              <a:solidFill>
                <a:srgbClr val="000000"/>
              </a:solidFill>
              <a:latin typeface="Calibri"/>
              <a:ea typeface="Calibri"/>
              <a:cs typeface="Calibri"/>
            </a:rPr>
            <a:t>1) You can create your own ternary plots in "Amph exchg components" by renormalizing any three of the components in columns D through K. The trigonometric equations to plot a ternary diagram into an Excel X vs. Y scatter plot are given in columns labeled "x" and "y". Click on these cells and copy the equation, or the contents of the cell.</a:t>
          </a:r>
        </a:p>
        <a:p>
          <a:pPr algn="l" rtl="0">
            <a:defRPr sz="1000"/>
          </a:pPr>
          <a:endParaRPr lang="en-US" sz="1400" b="0" i="0" u="none" strike="noStrike" baseline="0">
            <a:solidFill>
              <a:srgbClr val="000000"/>
            </a:solidFill>
            <a:latin typeface="Calibri"/>
            <a:ea typeface="Calibri"/>
            <a:cs typeface="Calibri"/>
          </a:endParaRPr>
        </a:p>
        <a:p>
          <a:pPr algn="l" rtl="0">
            <a:defRPr sz="1000"/>
          </a:pPr>
          <a:r>
            <a:rPr lang="en-US" sz="1400" b="0" i="0" u="none" strike="noStrike" baseline="0">
              <a:solidFill>
                <a:srgbClr val="000000"/>
              </a:solidFill>
              <a:latin typeface="Calibri"/>
              <a:ea typeface="Calibri"/>
              <a:cs typeface="Calibri"/>
            </a:rPr>
            <a:t>I use a combination of tremolite + ferroactinolite and tremolite only, for the plots, depending upon the nature of the amphibole compositions being plotted. To magnify any of the plots where the data collect close to the tremolite (or other) end-member, go to a chart, select the "Chart Layout" tab and click on "Axes". From there, you can select the menu item to show the axes, and then double click on the axes to change the scale. And if you prefer that the axes do not show, you can simply select the axes and hit "delete". </a:t>
          </a:r>
        </a:p>
        <a:p>
          <a:pPr algn="l" rtl="0">
            <a:defRPr sz="1000"/>
          </a:pPr>
          <a:endParaRPr lang="en-US" sz="1400" b="0" i="0" u="none" strike="noStrike" baseline="0">
            <a:solidFill>
              <a:srgbClr val="000000"/>
            </a:solidFill>
            <a:latin typeface="Calibri"/>
            <a:ea typeface="Calibri"/>
            <a:cs typeface="Calibri"/>
          </a:endParaRPr>
        </a:p>
        <a:p>
          <a:pPr algn="l" rtl="0">
            <a:defRPr sz="1000"/>
          </a:pPr>
          <a:r>
            <a:rPr lang="en-US" sz="1400" b="0" i="0" u="none" strike="noStrike" baseline="0">
              <a:solidFill>
                <a:srgbClr val="000000"/>
              </a:solidFill>
              <a:latin typeface="Calibri"/>
              <a:ea typeface="Calibri"/>
              <a:cs typeface="Calibri"/>
            </a:rPr>
            <a:t>If you want to plot just the end-points or midpoints of a triangle in any of the ternary diagrams, go to "Amph exchg components" and see cells AE4 to AJ9; copy and paste the x-y coordinates in AI5 to AJ9.</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154</xdr:col>
      <xdr:colOff>330200</xdr:colOff>
      <xdr:row>21</xdr:row>
      <xdr:rowOff>101600</xdr:rowOff>
    </xdr:from>
    <xdr:to>
      <xdr:col>160</xdr:col>
      <xdr:colOff>177800</xdr:colOff>
      <xdr:row>33</xdr:row>
      <xdr:rowOff>101600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absoluteAnchor>
    <xdr:pos x="0" y="0"/>
    <xdr:ext cx="8581838" cy="5827059"/>
    <xdr:graphicFrame macro="">
      <xdr:nvGraphicFramePr>
        <xdr:cNvPr id="2" name="Chart 1">
          <a:extLst>
            <a:ext uri="{FF2B5EF4-FFF2-40B4-BE49-F238E27FC236}">
              <a16:creationId xmlns:a16="http://schemas.microsoft.com/office/drawing/2014/main" id="{00000000-0008-0000-03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c:userShapes xmlns:c="http://schemas.openxmlformats.org/drawingml/2006/chart">
  <cdr:relSizeAnchor xmlns:cdr="http://schemas.openxmlformats.org/drawingml/2006/chartDrawing">
    <cdr:from>
      <cdr:x>0.14255</cdr:x>
      <cdr:y>0.19712</cdr:y>
    </cdr:from>
    <cdr:to>
      <cdr:x>0.28618</cdr:x>
      <cdr:y>0.2516</cdr:y>
    </cdr:to>
    <cdr:sp macro="" textlink="">
      <cdr:nvSpPr>
        <cdr:cNvPr id="2" name="TextBox 1">
          <a:extLst xmlns:a="http://schemas.openxmlformats.org/drawingml/2006/main">
            <a:ext uri="{FF2B5EF4-FFF2-40B4-BE49-F238E27FC236}">
              <a16:creationId xmlns:a16="http://schemas.microsoft.com/office/drawing/2014/main" id="{7A5A7F12-0011-C742-A561-107E709E1A81}"/>
            </a:ext>
          </a:extLst>
        </cdr:cNvPr>
        <cdr:cNvSpPr txBox="1"/>
      </cdr:nvSpPr>
      <cdr:spPr>
        <a:xfrm xmlns:a="http://schemas.openxmlformats.org/drawingml/2006/main">
          <a:off x="1223309" y="1148603"/>
          <a:ext cx="1232647" cy="3175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600"/>
            <a:t>actinolite</a:t>
          </a:r>
        </a:p>
      </cdr:txBody>
    </cdr:sp>
  </cdr:relSizeAnchor>
  <cdr:relSizeAnchor xmlns:cdr="http://schemas.openxmlformats.org/drawingml/2006/chartDrawing">
    <cdr:from>
      <cdr:x>0.14629</cdr:x>
      <cdr:y>0.06641</cdr:y>
    </cdr:from>
    <cdr:to>
      <cdr:x>0.28992</cdr:x>
      <cdr:y>0.1209</cdr:y>
    </cdr:to>
    <cdr:sp macro="" textlink="">
      <cdr:nvSpPr>
        <cdr:cNvPr id="3" name="TextBox 1">
          <a:extLst xmlns:a="http://schemas.openxmlformats.org/drawingml/2006/main">
            <a:ext uri="{FF2B5EF4-FFF2-40B4-BE49-F238E27FC236}">
              <a16:creationId xmlns:a16="http://schemas.microsoft.com/office/drawing/2014/main" id="{5531A41C-A272-674F-901E-C515D19EADCD}"/>
            </a:ext>
          </a:extLst>
        </cdr:cNvPr>
        <cdr:cNvSpPr txBox="1"/>
      </cdr:nvSpPr>
      <cdr:spPr>
        <a:xfrm xmlns:a="http://schemas.openxmlformats.org/drawingml/2006/main">
          <a:off x="1255433" y="386977"/>
          <a:ext cx="1232647" cy="31750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1600"/>
            <a:t>tremolite</a:t>
          </a:r>
        </a:p>
      </cdr:txBody>
    </cdr:sp>
  </cdr:relSizeAnchor>
  <cdr:relSizeAnchor xmlns:cdr="http://schemas.openxmlformats.org/drawingml/2006/chartDrawing">
    <cdr:from>
      <cdr:x>0.33236</cdr:x>
      <cdr:y>0.09045</cdr:y>
    </cdr:from>
    <cdr:to>
      <cdr:x>0.58651</cdr:x>
      <cdr:y>0.14744</cdr:y>
    </cdr:to>
    <cdr:sp macro="" textlink="">
      <cdr:nvSpPr>
        <cdr:cNvPr id="4" name="TextBox 1">
          <a:extLst xmlns:a="http://schemas.openxmlformats.org/drawingml/2006/main">
            <a:ext uri="{FF2B5EF4-FFF2-40B4-BE49-F238E27FC236}">
              <a16:creationId xmlns:a16="http://schemas.microsoft.com/office/drawing/2014/main" id="{5531A41C-A272-674F-901E-C515D19EADCD}"/>
            </a:ext>
          </a:extLst>
        </cdr:cNvPr>
        <cdr:cNvSpPr txBox="1"/>
      </cdr:nvSpPr>
      <cdr:spPr>
        <a:xfrm xmlns:a="http://schemas.openxmlformats.org/drawingml/2006/main">
          <a:off x="2852270" y="527050"/>
          <a:ext cx="2181039" cy="332067"/>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1600"/>
            <a:t>magnesiohornblende</a:t>
          </a:r>
        </a:p>
      </cdr:txBody>
    </cdr:sp>
  </cdr:relSizeAnchor>
  <cdr:relSizeAnchor xmlns:cdr="http://schemas.openxmlformats.org/drawingml/2006/chartDrawing">
    <cdr:from>
      <cdr:x>0.32801</cdr:x>
      <cdr:y>0.52154</cdr:y>
    </cdr:from>
    <cdr:to>
      <cdr:x>0.58215</cdr:x>
      <cdr:y>0.57853</cdr:y>
    </cdr:to>
    <cdr:sp macro="" textlink="">
      <cdr:nvSpPr>
        <cdr:cNvPr id="5" name="TextBox 1">
          <a:extLst xmlns:a="http://schemas.openxmlformats.org/drawingml/2006/main">
            <a:ext uri="{FF2B5EF4-FFF2-40B4-BE49-F238E27FC236}">
              <a16:creationId xmlns:a16="http://schemas.microsoft.com/office/drawing/2014/main" id="{DC9FFE40-4A04-E842-A6DB-EC205D101A24}"/>
            </a:ext>
          </a:extLst>
        </cdr:cNvPr>
        <cdr:cNvSpPr txBox="1"/>
      </cdr:nvSpPr>
      <cdr:spPr>
        <a:xfrm xmlns:a="http://schemas.openxmlformats.org/drawingml/2006/main">
          <a:off x="2814917" y="3039035"/>
          <a:ext cx="2181039" cy="332067"/>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1600"/>
            <a:t>ferrohornblende</a:t>
          </a:r>
        </a:p>
      </cdr:txBody>
    </cdr:sp>
  </cdr:relSizeAnchor>
  <cdr:relSizeAnchor xmlns:cdr="http://schemas.openxmlformats.org/drawingml/2006/chartDrawing">
    <cdr:from>
      <cdr:x>0.66207</cdr:x>
      <cdr:y>0.08724</cdr:y>
    </cdr:from>
    <cdr:to>
      <cdr:x>0.91621</cdr:x>
      <cdr:y>0.14423</cdr:y>
    </cdr:to>
    <cdr:sp macro="" textlink="">
      <cdr:nvSpPr>
        <cdr:cNvPr id="6" name="TextBox 1">
          <a:extLst xmlns:a="http://schemas.openxmlformats.org/drawingml/2006/main">
            <a:ext uri="{FF2B5EF4-FFF2-40B4-BE49-F238E27FC236}">
              <a16:creationId xmlns:a16="http://schemas.microsoft.com/office/drawing/2014/main" id="{DC9FFE40-4A04-E842-A6DB-EC205D101A24}"/>
            </a:ext>
          </a:extLst>
        </cdr:cNvPr>
        <cdr:cNvSpPr txBox="1"/>
      </cdr:nvSpPr>
      <cdr:spPr>
        <a:xfrm xmlns:a="http://schemas.openxmlformats.org/drawingml/2006/main">
          <a:off x="5681755" y="508373"/>
          <a:ext cx="2181039" cy="332067"/>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1600"/>
            <a:t>tschermakite</a:t>
          </a:r>
        </a:p>
      </cdr:txBody>
    </cdr:sp>
  </cdr:relSizeAnchor>
  <cdr:relSizeAnchor xmlns:cdr="http://schemas.openxmlformats.org/drawingml/2006/chartDrawing">
    <cdr:from>
      <cdr:x>0.66533</cdr:x>
      <cdr:y>0.52154</cdr:y>
    </cdr:from>
    <cdr:to>
      <cdr:x>0.91948</cdr:x>
      <cdr:y>0.57853</cdr:y>
    </cdr:to>
    <cdr:sp macro="" textlink="">
      <cdr:nvSpPr>
        <cdr:cNvPr id="7" name="TextBox 1">
          <a:extLst xmlns:a="http://schemas.openxmlformats.org/drawingml/2006/main">
            <a:ext uri="{FF2B5EF4-FFF2-40B4-BE49-F238E27FC236}">
              <a16:creationId xmlns:a16="http://schemas.microsoft.com/office/drawing/2014/main" id="{DC9FFE40-4A04-E842-A6DB-EC205D101A24}"/>
            </a:ext>
          </a:extLst>
        </cdr:cNvPr>
        <cdr:cNvSpPr txBox="1"/>
      </cdr:nvSpPr>
      <cdr:spPr>
        <a:xfrm xmlns:a="http://schemas.openxmlformats.org/drawingml/2006/main">
          <a:off x="5709771" y="3039035"/>
          <a:ext cx="2181039" cy="332067"/>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1600"/>
            <a:t>ferrotschermakite</a:t>
          </a:r>
        </a:p>
      </cdr:txBody>
    </cdr:sp>
  </cdr:relSizeAnchor>
  <cdr:relSizeAnchor xmlns:cdr="http://schemas.openxmlformats.org/drawingml/2006/chartDrawing">
    <cdr:from>
      <cdr:x>0.13323</cdr:x>
      <cdr:y>0.50872</cdr:y>
    </cdr:from>
    <cdr:to>
      <cdr:x>0.38738</cdr:x>
      <cdr:y>0.5657</cdr:y>
    </cdr:to>
    <cdr:sp macro="" textlink="">
      <cdr:nvSpPr>
        <cdr:cNvPr id="8" name="TextBox 1">
          <a:extLst xmlns:a="http://schemas.openxmlformats.org/drawingml/2006/main">
            <a:ext uri="{FF2B5EF4-FFF2-40B4-BE49-F238E27FC236}">
              <a16:creationId xmlns:a16="http://schemas.microsoft.com/office/drawing/2014/main" id="{DC9FFE40-4A04-E842-A6DB-EC205D101A24}"/>
            </a:ext>
          </a:extLst>
        </cdr:cNvPr>
        <cdr:cNvSpPr txBox="1"/>
      </cdr:nvSpPr>
      <cdr:spPr>
        <a:xfrm xmlns:a="http://schemas.openxmlformats.org/drawingml/2006/main">
          <a:off x="1143374" y="2964329"/>
          <a:ext cx="2181039" cy="332067"/>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1600"/>
            <a:t>ferro-</a:t>
          </a:r>
        </a:p>
        <a:p xmlns:a="http://schemas.openxmlformats.org/drawingml/2006/main">
          <a:r>
            <a:rPr lang="en-US" sz="1600"/>
            <a:t>actinolite</a:t>
          </a:r>
        </a:p>
      </cdr:txBody>
    </cdr:sp>
  </cdr:relSizeAnchor>
</c:userShapes>
</file>

<file path=xl/drawings/drawing5.xml><?xml version="1.0" encoding="utf-8"?>
<xdr:wsDr xmlns:xdr="http://schemas.openxmlformats.org/drawingml/2006/spreadsheetDrawing" xmlns:a="http://schemas.openxmlformats.org/drawingml/2006/main">
  <xdr:absoluteAnchor>
    <xdr:pos x="0" y="0"/>
    <xdr:ext cx="8574631" cy="5830067"/>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c:userShapes xmlns:c="http://schemas.openxmlformats.org/drawingml/2006/chart">
  <cdr:relSizeAnchor xmlns:cdr="http://schemas.openxmlformats.org/drawingml/2006/chartDrawing">
    <cdr:from>
      <cdr:x>0.43796</cdr:x>
      <cdr:y>0.08181</cdr:y>
    </cdr:from>
    <cdr:to>
      <cdr:x>0.52625</cdr:x>
      <cdr:y>0.13833</cdr:y>
    </cdr:to>
    <cdr:sp macro="" textlink="">
      <cdr:nvSpPr>
        <cdr:cNvPr id="9" name="Text Box 3"/>
        <cdr:cNvSpPr txBox="1">
          <a:spLocks xmlns:a="http://schemas.openxmlformats.org/drawingml/2006/main" noChangeArrowheads="1"/>
        </cdr:cNvSpPr>
      </cdr:nvSpPr>
      <cdr:spPr bwMode="auto">
        <a:xfrm xmlns:a="http://schemas.openxmlformats.org/drawingml/2006/main">
          <a:off x="3756923" y="477949"/>
          <a:ext cx="757376" cy="33019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NaK</a:t>
          </a:r>
          <a:r>
            <a:rPr lang="en-US" sz="1400" b="0" i="0" baseline="-25000">
              <a:effectLst/>
              <a:latin typeface="Verdana"/>
              <a:ea typeface="+mn-ea"/>
              <a:cs typeface="Verdana"/>
            </a:rPr>
            <a:t>-1</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0.13647</cdr:x>
      <cdr:y>0.89407</cdr:y>
    </cdr:from>
    <cdr:to>
      <cdr:x>0.29879</cdr:x>
      <cdr:y>0.95257</cdr:y>
    </cdr:to>
    <cdr:sp macro="" textlink="">
      <cdr:nvSpPr>
        <cdr:cNvPr id="10" name="Text Box 3"/>
        <cdr:cNvSpPr txBox="1">
          <a:spLocks xmlns:a="http://schemas.openxmlformats.org/drawingml/2006/main" noChangeArrowheads="1"/>
        </cdr:cNvSpPr>
      </cdr:nvSpPr>
      <cdr:spPr bwMode="auto">
        <a:xfrm xmlns:a="http://schemas.openxmlformats.org/drawingml/2006/main">
          <a:off x="1170693" y="5223157"/>
          <a:ext cx="139242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Tremolite + Ferroactinolite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0.54159</cdr:x>
      <cdr:y>0.8921</cdr:y>
    </cdr:from>
    <cdr:to>
      <cdr:x>0.61373</cdr:x>
      <cdr:y>0.9506</cdr:y>
    </cdr:to>
    <cdr:sp macro="" textlink="">
      <cdr:nvSpPr>
        <cdr:cNvPr id="11" name="Text Box 3"/>
        <cdr:cNvSpPr txBox="1">
          <a:spLocks xmlns:a="http://schemas.openxmlformats.org/drawingml/2006/main" noChangeArrowheads="1"/>
        </cdr:cNvSpPr>
      </cdr:nvSpPr>
      <cdr:spPr bwMode="auto">
        <a:xfrm xmlns:a="http://schemas.openxmlformats.org/drawingml/2006/main">
          <a:off x="4645872" y="5211627"/>
          <a:ext cx="618856"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Richt</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0.62099</cdr:x>
      <cdr:y>0.89012</cdr:y>
    </cdr:from>
    <cdr:to>
      <cdr:x>0.72409</cdr:x>
      <cdr:y>0.94862</cdr:y>
    </cdr:to>
    <cdr:sp macro="" textlink="">
      <cdr:nvSpPr>
        <cdr:cNvPr id="12" name="Text Box 3"/>
        <cdr:cNvSpPr txBox="1">
          <a:spLocks xmlns:a="http://schemas.openxmlformats.org/drawingml/2006/main" noChangeArrowheads="1"/>
        </cdr:cNvSpPr>
      </cdr:nvSpPr>
      <cdr:spPr bwMode="auto">
        <a:xfrm xmlns:a="http://schemas.openxmlformats.org/drawingml/2006/main">
          <a:off x="5327020" y="5200066"/>
          <a:ext cx="884436"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Al-Winch</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0.46353</cdr:x>
      <cdr:y>0.55613</cdr:y>
    </cdr:from>
    <cdr:to>
      <cdr:x>0.62584</cdr:x>
      <cdr:y>0.61463</cdr:y>
    </cdr:to>
    <cdr:sp macro="" textlink="">
      <cdr:nvSpPr>
        <cdr:cNvPr id="13" name="Text Box 3"/>
        <cdr:cNvSpPr txBox="1">
          <a:spLocks xmlns:a="http://schemas.openxmlformats.org/drawingml/2006/main" noChangeArrowheads="1"/>
        </cdr:cNvSpPr>
      </cdr:nvSpPr>
      <cdr:spPr bwMode="auto">
        <a:xfrm xmlns:a="http://schemas.openxmlformats.org/drawingml/2006/main">
          <a:off x="3976291" y="3248891"/>
          <a:ext cx="1392339"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Edenite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0.64252</cdr:x>
      <cdr:y>0.46719</cdr:y>
    </cdr:from>
    <cdr:to>
      <cdr:x>0.80484</cdr:x>
      <cdr:y>0.52569</cdr:y>
    </cdr:to>
    <cdr:sp macro="" textlink="">
      <cdr:nvSpPr>
        <cdr:cNvPr id="14" name="Text Box 3"/>
        <cdr:cNvSpPr txBox="1">
          <a:spLocks xmlns:a="http://schemas.openxmlformats.org/drawingml/2006/main" noChangeArrowheads="1"/>
        </cdr:cNvSpPr>
      </cdr:nvSpPr>
      <cdr:spPr bwMode="auto">
        <a:xfrm xmlns:a="http://schemas.openxmlformats.org/drawingml/2006/main">
          <a:off x="5511741" y="2729344"/>
          <a:ext cx="139242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K-Gedrite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0.8175</cdr:x>
      <cdr:y>0.84862</cdr:y>
    </cdr:from>
    <cdr:to>
      <cdr:x>0.93136</cdr:x>
      <cdr:y>0.91898</cdr:y>
    </cdr:to>
    <cdr:sp macro="" textlink="">
      <cdr:nvSpPr>
        <cdr:cNvPr id="16" name="Text Box 2"/>
        <cdr:cNvSpPr txBox="1">
          <a:spLocks xmlns:a="http://schemas.openxmlformats.org/drawingml/2006/main" noChangeArrowheads="1"/>
        </cdr:cNvSpPr>
      </cdr:nvSpPr>
      <cdr:spPr bwMode="auto">
        <a:xfrm xmlns:a="http://schemas.openxmlformats.org/drawingml/2006/main">
          <a:off x="7012709" y="4957618"/>
          <a:ext cx="976745" cy="4110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Na</a:t>
          </a:r>
          <a:r>
            <a:rPr lang="en-US" sz="1400" b="0" i="0" baseline="0">
              <a:effectLst/>
              <a:latin typeface="Verdana"/>
              <a:ea typeface="+mn-ea"/>
              <a:cs typeface="Verdana"/>
            </a:rPr>
            <a:t>AlSi</a:t>
          </a:r>
          <a:r>
            <a:rPr lang="en-US" sz="1400" b="0" i="0" baseline="-25000">
              <a:effectLst/>
              <a:latin typeface="Verdana"/>
              <a:ea typeface="+mn-ea"/>
              <a:cs typeface="Verdana"/>
            </a:rPr>
            <a:t>-1</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0.43122</cdr:x>
      <cdr:y>0.88814</cdr:y>
    </cdr:from>
    <cdr:to>
      <cdr:x>0.51279</cdr:x>
      <cdr:y>0.94664</cdr:y>
    </cdr:to>
    <cdr:sp macro="" textlink="">
      <cdr:nvSpPr>
        <cdr:cNvPr id="17" name="Text Box 3"/>
        <cdr:cNvSpPr txBox="1">
          <a:spLocks xmlns:a="http://schemas.openxmlformats.org/drawingml/2006/main" noChangeArrowheads="1"/>
        </cdr:cNvSpPr>
      </cdr:nvSpPr>
      <cdr:spPr bwMode="auto">
        <a:xfrm xmlns:a="http://schemas.openxmlformats.org/drawingml/2006/main">
          <a:off x="3699163" y="5188528"/>
          <a:ext cx="69965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Parg</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0.80269</cdr:x>
      <cdr:y>0.88419</cdr:y>
    </cdr:from>
    <cdr:to>
      <cdr:x>0.96501</cdr:x>
      <cdr:y>0.94269</cdr:y>
    </cdr:to>
    <cdr:sp macro="" textlink="">
      <cdr:nvSpPr>
        <cdr:cNvPr id="18" name="Text Box 3"/>
        <cdr:cNvSpPr txBox="1">
          <a:spLocks xmlns:a="http://schemas.openxmlformats.org/drawingml/2006/main" noChangeArrowheads="1"/>
        </cdr:cNvSpPr>
      </cdr:nvSpPr>
      <cdr:spPr bwMode="auto">
        <a:xfrm xmlns:a="http://schemas.openxmlformats.org/drawingml/2006/main">
          <a:off x="6885709" y="5165436"/>
          <a:ext cx="139242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Na-Gedrite</a:t>
          </a:r>
          <a:endParaRPr lang="en-US" sz="1400" b="0" i="0" u="none" strike="noStrike" baseline="-25000">
            <a:solidFill>
              <a:srgbClr val="000000"/>
            </a:solidFill>
            <a:latin typeface="Verdana"/>
            <a:ea typeface="Verdana"/>
            <a:cs typeface="Verdana"/>
          </a:endParaRPr>
        </a:p>
      </cdr:txBody>
    </cdr:sp>
  </cdr:relSizeAnchor>
</c:userShapes>
</file>

<file path=xl/drawings/drawing7.xml><?xml version="1.0" encoding="utf-8"?>
<xdr:wsDr xmlns:xdr="http://schemas.openxmlformats.org/drawingml/2006/spreadsheetDrawing" xmlns:a="http://schemas.openxmlformats.org/drawingml/2006/main">
  <xdr:absoluteAnchor>
    <xdr:pos x="0" y="0"/>
    <xdr:ext cx="8567119" cy="5822627"/>
    <xdr:graphicFrame macro="">
      <xdr:nvGraphicFramePr>
        <xdr:cNvPr id="2" name="Chart 1">
          <a:extLst>
            <a:ext uri="{FF2B5EF4-FFF2-40B4-BE49-F238E27FC236}">
              <a16:creationId xmlns:a16="http://schemas.microsoft.com/office/drawing/2014/main" id="{00000000-0008-0000-05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c:userShapes xmlns:c="http://schemas.openxmlformats.org/drawingml/2006/chart">
  <cdr:relSizeAnchor xmlns:cdr="http://schemas.openxmlformats.org/drawingml/2006/chartDrawing">
    <cdr:from>
      <cdr:x>0.42854</cdr:x>
      <cdr:y>0.08181</cdr:y>
    </cdr:from>
    <cdr:to>
      <cdr:x>0.51683</cdr:x>
      <cdr:y>0.13833</cdr:y>
    </cdr:to>
    <cdr:sp macro="" textlink="">
      <cdr:nvSpPr>
        <cdr:cNvPr id="9" name="Text Box 3"/>
        <cdr:cNvSpPr txBox="1">
          <a:spLocks xmlns:a="http://schemas.openxmlformats.org/drawingml/2006/main" noChangeArrowheads="1"/>
        </cdr:cNvSpPr>
      </cdr:nvSpPr>
      <cdr:spPr bwMode="auto">
        <a:xfrm xmlns:a="http://schemas.openxmlformats.org/drawingml/2006/main">
          <a:off x="3676121" y="477934"/>
          <a:ext cx="757376" cy="33019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NaK</a:t>
          </a:r>
          <a:r>
            <a:rPr lang="en-US" sz="1400" b="0" i="0" baseline="-25000">
              <a:effectLst/>
              <a:latin typeface="Verdana"/>
              <a:ea typeface="+mn-ea"/>
              <a:cs typeface="Verdana"/>
            </a:rPr>
            <a:t>-1</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0.05518</cdr:x>
      <cdr:y>0.90198</cdr:y>
    </cdr:from>
    <cdr:to>
      <cdr:x>0.22342</cdr:x>
      <cdr:y>0.96048</cdr:y>
    </cdr:to>
    <cdr:sp macro="" textlink="">
      <cdr:nvSpPr>
        <cdr:cNvPr id="10" name="Text Box 3"/>
        <cdr:cNvSpPr txBox="1">
          <a:spLocks xmlns:a="http://schemas.openxmlformats.org/drawingml/2006/main" noChangeArrowheads="1"/>
        </cdr:cNvSpPr>
      </cdr:nvSpPr>
      <cdr:spPr bwMode="auto">
        <a:xfrm xmlns:a="http://schemas.openxmlformats.org/drawingml/2006/main">
          <a:off x="473364" y="5269339"/>
          <a:ext cx="1443181"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Cummingtonite </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0.49448</cdr:x>
      <cdr:y>0.88617</cdr:y>
    </cdr:from>
    <cdr:to>
      <cdr:x>0.59892</cdr:x>
      <cdr:y>0.94467</cdr:y>
    </cdr:to>
    <cdr:sp macro="" textlink="">
      <cdr:nvSpPr>
        <cdr:cNvPr id="11" name="Text Box 3"/>
        <cdr:cNvSpPr txBox="1">
          <a:spLocks xmlns:a="http://schemas.openxmlformats.org/drawingml/2006/main" noChangeArrowheads="1"/>
        </cdr:cNvSpPr>
      </cdr:nvSpPr>
      <cdr:spPr bwMode="auto">
        <a:xfrm xmlns:a="http://schemas.openxmlformats.org/drawingml/2006/main">
          <a:off x="4241815" y="5177012"/>
          <a:ext cx="895911"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Gedrite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0.38411</cdr:x>
      <cdr:y>0.89012</cdr:y>
    </cdr:from>
    <cdr:to>
      <cdr:x>0.48721</cdr:x>
      <cdr:y>0.94862</cdr:y>
    </cdr:to>
    <cdr:sp macro="" textlink="">
      <cdr:nvSpPr>
        <cdr:cNvPr id="12" name="Text Box 3"/>
        <cdr:cNvSpPr txBox="1">
          <a:spLocks xmlns:a="http://schemas.openxmlformats.org/drawingml/2006/main" noChangeArrowheads="1"/>
        </cdr:cNvSpPr>
      </cdr:nvSpPr>
      <cdr:spPr bwMode="auto">
        <a:xfrm xmlns:a="http://schemas.openxmlformats.org/drawingml/2006/main">
          <a:off x="3295022" y="5200081"/>
          <a:ext cx="884420"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Al-Winch</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0.4245</cdr:x>
      <cdr:y>0.02846</cdr:y>
    </cdr:from>
    <cdr:to>
      <cdr:x>0.58681</cdr:x>
      <cdr:y>0.08696</cdr:y>
    </cdr:to>
    <cdr:sp macro="" textlink="">
      <cdr:nvSpPr>
        <cdr:cNvPr id="13" name="Text Box 3"/>
        <cdr:cNvSpPr txBox="1">
          <a:spLocks xmlns:a="http://schemas.openxmlformats.org/drawingml/2006/main" noChangeArrowheads="1"/>
        </cdr:cNvSpPr>
      </cdr:nvSpPr>
      <cdr:spPr bwMode="auto">
        <a:xfrm xmlns:a="http://schemas.openxmlformats.org/drawingml/2006/main">
          <a:off x="3641468" y="166274"/>
          <a:ext cx="1392339"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Edenite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0.372</cdr:x>
      <cdr:y>0.51857</cdr:y>
    </cdr:from>
    <cdr:to>
      <cdr:x>0.53432</cdr:x>
      <cdr:y>0.57707</cdr:y>
    </cdr:to>
    <cdr:sp macro="" textlink="">
      <cdr:nvSpPr>
        <cdr:cNvPr id="14" name="Text Box 3"/>
        <cdr:cNvSpPr txBox="1">
          <a:spLocks xmlns:a="http://schemas.openxmlformats.org/drawingml/2006/main" noChangeArrowheads="1"/>
        </cdr:cNvSpPr>
      </cdr:nvSpPr>
      <cdr:spPr bwMode="auto">
        <a:xfrm xmlns:a="http://schemas.openxmlformats.org/drawingml/2006/main">
          <a:off x="3191076" y="3029506"/>
          <a:ext cx="139242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K-Gedrite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0.8296</cdr:x>
      <cdr:y>0.91383</cdr:y>
    </cdr:from>
    <cdr:to>
      <cdr:x>0.91117</cdr:x>
      <cdr:y>0.97233</cdr:y>
    </cdr:to>
    <cdr:sp macro="" textlink="">
      <cdr:nvSpPr>
        <cdr:cNvPr id="17" name="Text Box 3"/>
        <cdr:cNvSpPr txBox="1">
          <a:spLocks xmlns:a="http://schemas.openxmlformats.org/drawingml/2006/main" noChangeArrowheads="1"/>
        </cdr:cNvSpPr>
      </cdr:nvSpPr>
      <cdr:spPr bwMode="auto">
        <a:xfrm xmlns:a="http://schemas.openxmlformats.org/drawingml/2006/main">
          <a:off x="7116576" y="5338605"/>
          <a:ext cx="699730"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Parg</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0.24684</cdr:x>
      <cdr:y>0.88617</cdr:y>
    </cdr:from>
    <cdr:to>
      <cdr:x>0.40916</cdr:x>
      <cdr:y>0.94467</cdr:y>
    </cdr:to>
    <cdr:sp macro="" textlink="">
      <cdr:nvSpPr>
        <cdr:cNvPr id="18" name="Text Box 3"/>
        <cdr:cNvSpPr txBox="1">
          <a:spLocks xmlns:a="http://schemas.openxmlformats.org/drawingml/2006/main" noChangeArrowheads="1"/>
        </cdr:cNvSpPr>
      </cdr:nvSpPr>
      <cdr:spPr bwMode="auto">
        <a:xfrm xmlns:a="http://schemas.openxmlformats.org/drawingml/2006/main">
          <a:off x="2117421" y="5176984"/>
          <a:ext cx="139242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Na-Gedrite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0.84711</cdr:x>
      <cdr:y>0.83874</cdr:y>
    </cdr:from>
    <cdr:to>
      <cdr:x>0.99327</cdr:x>
      <cdr:y>0.89724</cdr:y>
    </cdr:to>
    <cdr:sp macro="" textlink="">
      <cdr:nvSpPr>
        <cdr:cNvPr id="15" name="Text Box 3"/>
        <cdr:cNvSpPr txBox="1">
          <a:spLocks xmlns:a="http://schemas.openxmlformats.org/drawingml/2006/main" noChangeArrowheads="1"/>
        </cdr:cNvSpPr>
      </cdr:nvSpPr>
      <cdr:spPr bwMode="auto">
        <a:xfrm xmlns:a="http://schemas.openxmlformats.org/drawingml/2006/main">
          <a:off x="7266709" y="4899890"/>
          <a:ext cx="1253810"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marL="0" marR="0" indent="0" algn="l" defTabSz="914400" rtl="0" eaLnBrk="1" fontAlgn="auto" latinLnBrk="0" hangingPunct="1">
            <a:lnSpc>
              <a:spcPct val="100000"/>
            </a:lnSpc>
            <a:spcBef>
              <a:spcPts val="0"/>
            </a:spcBef>
            <a:spcAft>
              <a:spcPts val="0"/>
            </a:spcAft>
            <a:buClrTx/>
            <a:buSzTx/>
            <a:buFontTx/>
            <a:buNone/>
            <a:tabLst/>
            <a:defRPr sz="1000"/>
          </a:pPr>
          <a:r>
            <a:rPr lang="en-US" sz="1400" b="0" i="0" u="none" strike="noStrike" baseline="0">
              <a:solidFill>
                <a:srgbClr val="000000"/>
              </a:solidFill>
              <a:latin typeface="Verdana"/>
              <a:ea typeface="Verdana"/>
              <a:cs typeface="Verdana"/>
            </a:rPr>
            <a:t>Al</a:t>
          </a:r>
          <a:r>
            <a:rPr lang="en-US" sz="1400" b="0" i="0" u="none" strike="noStrike" baseline="-25000">
              <a:solidFill>
                <a:sysClr val="windowText" lastClr="000000"/>
              </a:solidFill>
              <a:effectLst/>
              <a:latin typeface="+mn-lt"/>
              <a:ea typeface="+mn-ea"/>
              <a:cs typeface="+mn-cs"/>
            </a:rPr>
            <a:t>4</a:t>
          </a:r>
          <a:r>
            <a:rPr lang="en-US" sz="1400" b="0" i="0" u="none" strike="noStrike" baseline="0">
              <a:solidFill>
                <a:srgbClr val="000000"/>
              </a:solidFill>
              <a:latin typeface="Verdana"/>
              <a:ea typeface="Verdana"/>
              <a:cs typeface="Verdana"/>
            </a:rPr>
            <a:t>Si</a:t>
          </a:r>
          <a:r>
            <a:rPr lang="en-US" sz="1400" b="0" i="0" baseline="-25000">
              <a:effectLst/>
              <a:latin typeface="+mn-lt"/>
              <a:ea typeface="+mn-ea"/>
              <a:cs typeface="+mn-cs"/>
            </a:rPr>
            <a:t>-2</a:t>
          </a:r>
          <a:r>
            <a:rPr lang="en-US" sz="1400" b="0" i="0" u="none" strike="noStrike" baseline="0">
              <a:solidFill>
                <a:sysClr val="windowText" lastClr="000000"/>
              </a:solidFill>
              <a:effectLst/>
              <a:latin typeface="Verdana"/>
              <a:ea typeface="+mn-ea"/>
              <a:cs typeface="Verdana"/>
            </a:rPr>
            <a:t>Mg</a:t>
          </a:r>
          <a:r>
            <a:rPr lang="en-US" sz="1400" b="0" i="0" baseline="-25000">
              <a:effectLst/>
              <a:latin typeface="Verdana"/>
              <a:ea typeface="+mn-ea"/>
              <a:cs typeface="Verdana"/>
            </a:rPr>
            <a:t>-2</a:t>
          </a:r>
          <a:endParaRPr lang="en-US" sz="1400" b="0" i="0" u="none" strike="noStrike" baseline="-25000">
            <a:solidFill>
              <a:srgbClr val="000000"/>
            </a:solidFill>
            <a:latin typeface="Verdana"/>
            <a:ea typeface="Verdana"/>
            <a:cs typeface="Verdana"/>
          </a:endParaRPr>
        </a:p>
      </cdr:txBody>
    </cdr:sp>
  </cdr:relSizeAnchor>
</c:userShapes>
</file>

<file path=xl/drawings/drawing9.xml><?xml version="1.0" encoding="utf-8"?>
<xdr:wsDr xmlns:xdr="http://schemas.openxmlformats.org/drawingml/2006/spreadsheetDrawing" xmlns:a="http://schemas.openxmlformats.org/drawingml/2006/main">
  <xdr:absoluteAnchor>
    <xdr:pos x="0" y="0"/>
    <xdr:ext cx="8567119" cy="5822627"/>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c:userShapes xmlns:c="http://schemas.openxmlformats.org/drawingml/2006/chart">
  <cdr:relSizeAnchor xmlns:cdr="http://schemas.openxmlformats.org/drawingml/2006/chartDrawing">
    <cdr:from>
      <cdr:x>0.46353</cdr:x>
      <cdr:y>0.07786</cdr:y>
    </cdr:from>
    <cdr:to>
      <cdr:x>0.55182</cdr:x>
      <cdr:y>0.13438</cdr:y>
    </cdr:to>
    <cdr:sp macro="" textlink="">
      <cdr:nvSpPr>
        <cdr:cNvPr id="9" name="Text Box 3"/>
        <cdr:cNvSpPr txBox="1">
          <a:spLocks xmlns:a="http://schemas.openxmlformats.org/drawingml/2006/main" noChangeArrowheads="1"/>
        </cdr:cNvSpPr>
      </cdr:nvSpPr>
      <cdr:spPr bwMode="auto">
        <a:xfrm xmlns:a="http://schemas.openxmlformats.org/drawingml/2006/main">
          <a:off x="3976277" y="454887"/>
          <a:ext cx="757376" cy="33019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NaK</a:t>
          </a:r>
          <a:r>
            <a:rPr lang="en-US" sz="1400" b="0" i="0" baseline="-25000">
              <a:effectLst/>
              <a:latin typeface="Verdana"/>
              <a:ea typeface="+mn-ea"/>
              <a:cs typeface="Verdana"/>
            </a:rPr>
            <a:t>-1</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0.1109</cdr:x>
      <cdr:y>0.89012</cdr:y>
    </cdr:from>
    <cdr:to>
      <cdr:x>0.22611</cdr:x>
      <cdr:y>0.94862</cdr:y>
    </cdr:to>
    <cdr:sp macro="" textlink="">
      <cdr:nvSpPr>
        <cdr:cNvPr id="10" name="Text Box 3"/>
        <cdr:cNvSpPr txBox="1">
          <a:spLocks xmlns:a="http://schemas.openxmlformats.org/drawingml/2006/main" noChangeArrowheads="1"/>
        </cdr:cNvSpPr>
      </cdr:nvSpPr>
      <cdr:spPr bwMode="auto">
        <a:xfrm xmlns:a="http://schemas.openxmlformats.org/drawingml/2006/main">
          <a:off x="951330" y="5200073"/>
          <a:ext cx="988307"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Tremolite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0.28452</cdr:x>
      <cdr:y>0.89012</cdr:y>
    </cdr:from>
    <cdr:to>
      <cdr:x>0.44684</cdr:x>
      <cdr:y>0.94862</cdr:y>
    </cdr:to>
    <cdr:sp macro="" textlink="">
      <cdr:nvSpPr>
        <cdr:cNvPr id="11" name="Text Box 3"/>
        <cdr:cNvSpPr txBox="1">
          <a:spLocks xmlns:a="http://schemas.openxmlformats.org/drawingml/2006/main" noChangeArrowheads="1"/>
        </cdr:cNvSpPr>
      </cdr:nvSpPr>
      <cdr:spPr bwMode="auto">
        <a:xfrm xmlns:a="http://schemas.openxmlformats.org/drawingml/2006/main">
          <a:off x="2440698" y="5200083"/>
          <a:ext cx="1392426"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Richterite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0.39354</cdr:x>
      <cdr:y>0.89209</cdr:y>
    </cdr:from>
    <cdr:to>
      <cdr:x>0.55586</cdr:x>
      <cdr:y>0.95059</cdr:y>
    </cdr:to>
    <cdr:sp macro="" textlink="">
      <cdr:nvSpPr>
        <cdr:cNvPr id="12" name="Text Box 3"/>
        <cdr:cNvSpPr txBox="1">
          <a:spLocks xmlns:a="http://schemas.openxmlformats.org/drawingml/2006/main" noChangeArrowheads="1"/>
        </cdr:cNvSpPr>
      </cdr:nvSpPr>
      <cdr:spPr bwMode="auto">
        <a:xfrm xmlns:a="http://schemas.openxmlformats.org/drawingml/2006/main">
          <a:off x="3375863" y="5211597"/>
          <a:ext cx="1392426"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Al-Winchite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0.20108</cdr:x>
      <cdr:y>0.4672</cdr:y>
    </cdr:from>
    <cdr:to>
      <cdr:x>0.36339</cdr:x>
      <cdr:y>0.5257</cdr:y>
    </cdr:to>
    <cdr:sp macro="" textlink="">
      <cdr:nvSpPr>
        <cdr:cNvPr id="13" name="Text Box 3"/>
        <cdr:cNvSpPr txBox="1">
          <a:spLocks xmlns:a="http://schemas.openxmlformats.org/drawingml/2006/main" noChangeArrowheads="1"/>
        </cdr:cNvSpPr>
      </cdr:nvSpPr>
      <cdr:spPr bwMode="auto">
        <a:xfrm xmlns:a="http://schemas.openxmlformats.org/drawingml/2006/main">
          <a:off x="1724912" y="2729355"/>
          <a:ext cx="1392339"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Edenite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0.66002</cdr:x>
      <cdr:y>0.46917</cdr:y>
    </cdr:from>
    <cdr:to>
      <cdr:x>0.82234</cdr:x>
      <cdr:y>0.52767</cdr:y>
    </cdr:to>
    <cdr:sp macro="" textlink="">
      <cdr:nvSpPr>
        <cdr:cNvPr id="14" name="Text Box 3"/>
        <cdr:cNvSpPr txBox="1">
          <a:spLocks xmlns:a="http://schemas.openxmlformats.org/drawingml/2006/main" noChangeArrowheads="1"/>
        </cdr:cNvSpPr>
      </cdr:nvSpPr>
      <cdr:spPr bwMode="auto">
        <a:xfrm xmlns:a="http://schemas.openxmlformats.org/drawingml/2006/main">
          <a:off x="5661865" y="2740905"/>
          <a:ext cx="139242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K-Gedrite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0.77443</cdr:x>
      <cdr:y>0.89407</cdr:y>
    </cdr:from>
    <cdr:to>
      <cdr:x>0.93675</cdr:x>
      <cdr:y>0.95257</cdr:y>
    </cdr:to>
    <cdr:sp macro="" textlink="">
      <cdr:nvSpPr>
        <cdr:cNvPr id="15" name="Text Box 3"/>
        <cdr:cNvSpPr txBox="1">
          <a:spLocks xmlns:a="http://schemas.openxmlformats.org/drawingml/2006/main" noChangeArrowheads="1"/>
        </cdr:cNvSpPr>
      </cdr:nvSpPr>
      <cdr:spPr bwMode="auto">
        <a:xfrm xmlns:a="http://schemas.openxmlformats.org/drawingml/2006/main">
          <a:off x="6643254" y="5223164"/>
          <a:ext cx="139242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Cummingtonite</a:t>
          </a:r>
          <a:endParaRPr lang="en-US" sz="1400" b="0" i="0" u="none" strike="noStrike" baseline="-25000">
            <a:solidFill>
              <a:srgbClr val="000000"/>
            </a:solidFill>
            <a:latin typeface="Verdana"/>
            <a:ea typeface="Verdana"/>
            <a:cs typeface="Verdana"/>
          </a:endParaRPr>
        </a:p>
      </cdr:txBody>
    </cdr:sp>
  </cdr:relSizeAnchor>
</c:userShapes>
</file>

<file path=xl/drawings/drawing11.xml><?xml version="1.0" encoding="utf-8"?>
<xdr:wsDr xmlns:xdr="http://schemas.openxmlformats.org/drawingml/2006/spreadsheetDrawing" xmlns:a="http://schemas.openxmlformats.org/drawingml/2006/main">
  <xdr:absoluteAnchor>
    <xdr:pos x="0" y="0"/>
    <xdr:ext cx="8574631" cy="5830067"/>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2.xml><?xml version="1.0" encoding="utf-8"?>
<c:userShapes xmlns:c="http://schemas.openxmlformats.org/drawingml/2006/chart">
  <cdr:relSizeAnchor xmlns:cdr="http://schemas.openxmlformats.org/drawingml/2006/chartDrawing">
    <cdr:from>
      <cdr:x>0.05437</cdr:x>
      <cdr:y>0.88814</cdr:y>
    </cdr:from>
    <cdr:to>
      <cdr:x>0.16958</cdr:x>
      <cdr:y>0.94664</cdr:y>
    </cdr:to>
    <cdr:sp macro="" textlink="">
      <cdr:nvSpPr>
        <cdr:cNvPr id="10" name="Text Box 3"/>
        <cdr:cNvSpPr txBox="1">
          <a:spLocks xmlns:a="http://schemas.openxmlformats.org/drawingml/2006/main" noChangeArrowheads="1"/>
        </cdr:cNvSpPr>
      </cdr:nvSpPr>
      <cdr:spPr bwMode="auto">
        <a:xfrm xmlns:a="http://schemas.openxmlformats.org/drawingml/2006/main">
          <a:off x="466424" y="5188535"/>
          <a:ext cx="988303"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Tremolite + Ferroact</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0.08533</cdr:x>
      <cdr:y>0.58775</cdr:y>
    </cdr:from>
    <cdr:to>
      <cdr:x>0.214</cdr:x>
      <cdr:y>0.64625</cdr:y>
    </cdr:to>
    <cdr:sp macro="" textlink="">
      <cdr:nvSpPr>
        <cdr:cNvPr id="11" name="Text Box 3"/>
        <cdr:cNvSpPr txBox="1">
          <a:spLocks xmlns:a="http://schemas.openxmlformats.org/drawingml/2006/main" noChangeArrowheads="1"/>
        </cdr:cNvSpPr>
      </cdr:nvSpPr>
      <cdr:spPr bwMode="auto">
        <a:xfrm xmlns:a="http://schemas.openxmlformats.org/drawingml/2006/main">
          <a:off x="731963" y="3433626"/>
          <a:ext cx="1103764"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Al-Winchite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0.41103</cdr:x>
      <cdr:y>0.89407</cdr:y>
    </cdr:from>
    <cdr:to>
      <cdr:x>0.53163</cdr:x>
      <cdr:y>0.95257</cdr:y>
    </cdr:to>
    <cdr:sp macro="" textlink="">
      <cdr:nvSpPr>
        <cdr:cNvPr id="12" name="Text Box 3"/>
        <cdr:cNvSpPr txBox="1">
          <a:spLocks xmlns:a="http://schemas.openxmlformats.org/drawingml/2006/main" noChangeArrowheads="1"/>
        </cdr:cNvSpPr>
      </cdr:nvSpPr>
      <cdr:spPr bwMode="auto">
        <a:xfrm xmlns:a="http://schemas.openxmlformats.org/drawingml/2006/main">
          <a:off x="3525928" y="5223157"/>
          <a:ext cx="1034527"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Kaersutite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0.10148</cdr:x>
      <cdr:y>0.45929</cdr:y>
    </cdr:from>
    <cdr:to>
      <cdr:x>0.27456</cdr:x>
      <cdr:y>0.51779</cdr:y>
    </cdr:to>
    <cdr:sp macro="" textlink="">
      <cdr:nvSpPr>
        <cdr:cNvPr id="13" name="Text Box 3"/>
        <cdr:cNvSpPr txBox="1">
          <a:spLocks xmlns:a="http://schemas.openxmlformats.org/drawingml/2006/main" noChangeArrowheads="1"/>
        </cdr:cNvSpPr>
      </cdr:nvSpPr>
      <cdr:spPr bwMode="auto">
        <a:xfrm xmlns:a="http://schemas.openxmlformats.org/drawingml/2006/main">
          <a:off x="870563" y="2683164"/>
          <a:ext cx="1484710"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Al-Tschermakite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0.41641</cdr:x>
      <cdr:y>0.03636</cdr:y>
    </cdr:from>
    <cdr:to>
      <cdr:x>0.57873</cdr:x>
      <cdr:y>0.09486</cdr:y>
    </cdr:to>
    <cdr:sp macro="" textlink="">
      <cdr:nvSpPr>
        <cdr:cNvPr id="14" name="Text Box 3"/>
        <cdr:cNvSpPr txBox="1">
          <a:spLocks xmlns:a="http://schemas.openxmlformats.org/drawingml/2006/main" noChangeArrowheads="1"/>
        </cdr:cNvSpPr>
      </cdr:nvSpPr>
      <cdr:spPr bwMode="auto">
        <a:xfrm xmlns:a="http://schemas.openxmlformats.org/drawingml/2006/main">
          <a:off x="3572105" y="212436"/>
          <a:ext cx="139242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Gedrite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0.80808</cdr:x>
      <cdr:y>0.82292</cdr:y>
    </cdr:from>
    <cdr:to>
      <cdr:x>1</cdr:x>
      <cdr:y>0.89328</cdr:y>
    </cdr:to>
    <cdr:sp macro="" textlink="">
      <cdr:nvSpPr>
        <cdr:cNvPr id="16" name="Text Box 2"/>
        <cdr:cNvSpPr txBox="1">
          <a:spLocks xmlns:a="http://schemas.openxmlformats.org/drawingml/2006/main" noChangeArrowheads="1"/>
        </cdr:cNvSpPr>
      </cdr:nvSpPr>
      <cdr:spPr bwMode="auto">
        <a:xfrm xmlns:a="http://schemas.openxmlformats.org/drawingml/2006/main">
          <a:off x="6931931" y="4807527"/>
          <a:ext cx="1646342" cy="4110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Na</a:t>
          </a:r>
          <a:r>
            <a:rPr lang="en-US" sz="1400" b="0" i="0" u="none" strike="noStrike" baseline="0">
              <a:solidFill>
                <a:sysClr val="windowText" lastClr="000000"/>
              </a:solidFill>
              <a:effectLst/>
              <a:latin typeface="Verdana"/>
              <a:ea typeface="+mn-ea"/>
              <a:cs typeface="Verdana"/>
            </a:rPr>
            <a:t>Ti</a:t>
          </a:r>
          <a:r>
            <a:rPr lang="en-US" sz="1400" b="0" i="0" baseline="0">
              <a:effectLst/>
              <a:latin typeface="Verdana"/>
              <a:ea typeface="+mn-ea"/>
              <a:cs typeface="Verdana"/>
            </a:rPr>
            <a:t>Al</a:t>
          </a:r>
          <a:r>
            <a:rPr lang="en-US" sz="1400" b="0" i="0" baseline="-25000">
              <a:effectLst/>
              <a:latin typeface="Verdana"/>
              <a:ea typeface="+mn-ea"/>
              <a:cs typeface="Verdana"/>
            </a:rPr>
            <a:t>2</a:t>
          </a:r>
          <a:r>
            <a:rPr lang="en-US" sz="1400" b="0" i="0" baseline="0">
              <a:effectLst/>
              <a:latin typeface="Verdana"/>
              <a:ea typeface="+mn-ea"/>
              <a:cs typeface="Verdana"/>
            </a:rPr>
            <a:t>Fm</a:t>
          </a:r>
          <a:r>
            <a:rPr lang="en-US" sz="1400" b="0" i="0" baseline="-25000">
              <a:effectLst/>
              <a:latin typeface="Verdana"/>
              <a:ea typeface="+mn-ea"/>
              <a:cs typeface="Verdana"/>
            </a:rPr>
            <a:t>-1</a:t>
          </a:r>
          <a:r>
            <a:rPr lang="en-US" sz="1400" b="0" i="0" baseline="0">
              <a:effectLst/>
              <a:latin typeface="Verdana"/>
              <a:ea typeface="+mn-ea"/>
              <a:cs typeface="Verdana"/>
            </a:rPr>
            <a:t>Si</a:t>
          </a:r>
          <a:r>
            <a:rPr lang="en-US" sz="1400" b="0" i="0" baseline="-25000">
              <a:effectLst/>
              <a:latin typeface="Verdana"/>
              <a:ea typeface="+mn-ea"/>
              <a:cs typeface="Verdana"/>
            </a:rPr>
            <a:t>-2</a:t>
          </a:r>
          <a:r>
            <a:rPr lang="en-US" sz="1400" b="0" i="0" u="none" strike="noStrike" baseline="0">
              <a:solidFill>
                <a:srgbClr val="000000"/>
              </a:solidFill>
              <a:latin typeface="Verdana"/>
              <a:ea typeface="Verdana"/>
              <a:cs typeface="Verdana"/>
            </a:rPr>
            <a:t>H</a:t>
          </a:r>
          <a:r>
            <a:rPr lang="en-US" sz="1400" b="0" i="0" u="none" strike="noStrike" baseline="-25000">
              <a:solidFill>
                <a:srgbClr val="000000"/>
              </a:solidFill>
              <a:latin typeface="Verdana"/>
              <a:ea typeface="Verdana"/>
              <a:cs typeface="Verdana"/>
            </a:rPr>
            <a:t>-1</a:t>
          </a:r>
        </a:p>
      </cdr:txBody>
    </cdr:sp>
  </cdr:relSizeAnchor>
  <cdr:relSizeAnchor xmlns:cdr="http://schemas.openxmlformats.org/drawingml/2006/chartDrawing">
    <cdr:from>
      <cdr:x>0.40162</cdr:x>
      <cdr:y>0.07589</cdr:y>
    </cdr:from>
    <cdr:to>
      <cdr:x>0.54778</cdr:x>
      <cdr:y>0.13439</cdr:y>
    </cdr:to>
    <cdr:sp macro="" textlink="">
      <cdr:nvSpPr>
        <cdr:cNvPr id="17" name="Text Box 3"/>
        <cdr:cNvSpPr txBox="1">
          <a:spLocks xmlns:a="http://schemas.openxmlformats.org/drawingml/2006/main" noChangeArrowheads="1"/>
        </cdr:cNvSpPr>
      </cdr:nvSpPr>
      <cdr:spPr bwMode="auto">
        <a:xfrm xmlns:a="http://schemas.openxmlformats.org/drawingml/2006/main">
          <a:off x="3445164" y="443345"/>
          <a:ext cx="1253810"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marL="0" marR="0" indent="0" algn="l" defTabSz="914400" rtl="0" eaLnBrk="1" fontAlgn="auto" latinLnBrk="0" hangingPunct="1">
            <a:lnSpc>
              <a:spcPct val="100000"/>
            </a:lnSpc>
            <a:spcBef>
              <a:spcPts val="0"/>
            </a:spcBef>
            <a:spcAft>
              <a:spcPts val="0"/>
            </a:spcAft>
            <a:buClrTx/>
            <a:buSzTx/>
            <a:buFontTx/>
            <a:buNone/>
            <a:tabLst/>
            <a:defRPr sz="1000"/>
          </a:pPr>
          <a:r>
            <a:rPr lang="en-US" sz="1400" b="0" i="0" u="none" strike="noStrike" baseline="0">
              <a:solidFill>
                <a:srgbClr val="000000"/>
              </a:solidFill>
              <a:latin typeface="Verdana"/>
              <a:ea typeface="Verdana"/>
              <a:cs typeface="Verdana"/>
            </a:rPr>
            <a:t>Al</a:t>
          </a:r>
          <a:r>
            <a:rPr lang="en-US" sz="1400" b="0" i="0" u="none" strike="noStrike" baseline="-25000">
              <a:solidFill>
                <a:sysClr val="windowText" lastClr="000000"/>
              </a:solidFill>
              <a:effectLst/>
              <a:latin typeface="+mn-lt"/>
              <a:ea typeface="+mn-ea"/>
              <a:cs typeface="+mn-cs"/>
            </a:rPr>
            <a:t>4</a:t>
          </a:r>
          <a:r>
            <a:rPr lang="en-US" sz="1400" b="0" i="0" u="none" strike="noStrike" baseline="0">
              <a:solidFill>
                <a:srgbClr val="000000"/>
              </a:solidFill>
              <a:latin typeface="Verdana"/>
              <a:ea typeface="Verdana"/>
              <a:cs typeface="Verdana"/>
            </a:rPr>
            <a:t>Si</a:t>
          </a:r>
          <a:r>
            <a:rPr lang="en-US" sz="1400" b="0" i="0" baseline="-25000">
              <a:effectLst/>
              <a:latin typeface="+mn-lt"/>
              <a:ea typeface="+mn-ea"/>
              <a:cs typeface="+mn-cs"/>
            </a:rPr>
            <a:t>-2</a:t>
          </a:r>
          <a:r>
            <a:rPr lang="en-US" sz="1400" b="0" i="0" u="none" strike="noStrike" baseline="0">
              <a:solidFill>
                <a:sysClr val="windowText" lastClr="000000"/>
              </a:solidFill>
              <a:effectLst/>
              <a:latin typeface="Verdana"/>
              <a:ea typeface="+mn-ea"/>
              <a:cs typeface="Verdana"/>
            </a:rPr>
            <a:t>Mg</a:t>
          </a:r>
          <a:r>
            <a:rPr lang="en-US" sz="1400" b="0" i="0" baseline="-25000">
              <a:effectLst/>
              <a:latin typeface="Verdana"/>
              <a:ea typeface="+mn-ea"/>
              <a:cs typeface="Verdana"/>
            </a:rPr>
            <a:t>-2</a:t>
          </a:r>
          <a:endParaRPr lang="en-US" sz="1400" b="0" i="0" u="none" strike="noStrike" baseline="-25000">
            <a:solidFill>
              <a:srgbClr val="000000"/>
            </a:solidFill>
            <a:latin typeface="Verdana"/>
            <a:ea typeface="Verdana"/>
            <a:cs typeface="Verdana"/>
          </a:endParaRPr>
        </a:p>
      </cdr:txBody>
    </cdr:sp>
  </cdr:relSizeAnchor>
</c:userShapes>
</file>

<file path=xl/drawings/drawing13.xml><?xml version="1.0" encoding="utf-8"?>
<xdr:wsDr xmlns:xdr="http://schemas.openxmlformats.org/drawingml/2006/spreadsheetDrawing" xmlns:a="http://schemas.openxmlformats.org/drawingml/2006/main">
  <xdr:absoluteAnchor>
    <xdr:pos x="0" y="0"/>
    <xdr:ext cx="8574631" cy="5830067"/>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4.xml><?xml version="1.0" encoding="utf-8"?>
<c:userShapes xmlns:c="http://schemas.openxmlformats.org/drawingml/2006/chart">
  <cdr:relSizeAnchor xmlns:cdr="http://schemas.openxmlformats.org/drawingml/2006/chartDrawing">
    <cdr:from>
      <cdr:x>0.74482</cdr:x>
      <cdr:y>0.80909</cdr:y>
    </cdr:from>
    <cdr:to>
      <cdr:x>0.93674</cdr:x>
      <cdr:y>0.87945</cdr:y>
    </cdr:to>
    <cdr:sp macro="" textlink="">
      <cdr:nvSpPr>
        <cdr:cNvPr id="7" name="Text Box 2"/>
        <cdr:cNvSpPr txBox="1">
          <a:spLocks xmlns:a="http://schemas.openxmlformats.org/drawingml/2006/main" noChangeArrowheads="1"/>
        </cdr:cNvSpPr>
      </cdr:nvSpPr>
      <cdr:spPr bwMode="auto">
        <a:xfrm xmlns:a="http://schemas.openxmlformats.org/drawingml/2006/main">
          <a:off x="6389254" y="4726709"/>
          <a:ext cx="1646382" cy="41101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Na</a:t>
          </a:r>
          <a:r>
            <a:rPr lang="en-US" sz="1400" b="0" i="0" u="none" strike="noStrike" baseline="0">
              <a:solidFill>
                <a:sysClr val="windowText" lastClr="000000"/>
              </a:solidFill>
              <a:effectLst/>
              <a:latin typeface="Verdana"/>
              <a:ea typeface="+mn-ea"/>
              <a:cs typeface="Verdana"/>
            </a:rPr>
            <a:t>Ti</a:t>
          </a:r>
          <a:r>
            <a:rPr lang="en-US" sz="1400" b="0" i="0" baseline="0">
              <a:effectLst/>
              <a:latin typeface="Verdana"/>
              <a:ea typeface="+mn-ea"/>
              <a:cs typeface="Verdana"/>
            </a:rPr>
            <a:t>Al</a:t>
          </a:r>
          <a:r>
            <a:rPr lang="en-US" sz="1400" b="0" i="0" baseline="-25000">
              <a:effectLst/>
              <a:latin typeface="Verdana"/>
              <a:ea typeface="+mn-ea"/>
              <a:cs typeface="Verdana"/>
            </a:rPr>
            <a:t>2</a:t>
          </a:r>
          <a:r>
            <a:rPr lang="en-US" sz="1400" b="0" i="0" baseline="0">
              <a:effectLst/>
              <a:latin typeface="Verdana"/>
              <a:ea typeface="+mn-ea"/>
              <a:cs typeface="Verdana"/>
            </a:rPr>
            <a:t>Fm</a:t>
          </a:r>
          <a:r>
            <a:rPr lang="en-US" sz="1400" b="0" i="0" baseline="-25000">
              <a:effectLst/>
              <a:latin typeface="Verdana"/>
              <a:ea typeface="+mn-ea"/>
              <a:cs typeface="Verdana"/>
            </a:rPr>
            <a:t>-1</a:t>
          </a:r>
          <a:r>
            <a:rPr lang="en-US" sz="1400" b="0" i="0" baseline="0">
              <a:effectLst/>
              <a:latin typeface="Verdana"/>
              <a:ea typeface="+mn-ea"/>
              <a:cs typeface="Verdana"/>
            </a:rPr>
            <a:t>Si</a:t>
          </a:r>
          <a:r>
            <a:rPr lang="en-US" sz="1400" b="0" i="0" baseline="-25000">
              <a:effectLst/>
              <a:latin typeface="Verdana"/>
              <a:ea typeface="+mn-ea"/>
              <a:cs typeface="Verdana"/>
            </a:rPr>
            <a:t>-2</a:t>
          </a:r>
          <a:r>
            <a:rPr lang="en-US" sz="1400" b="0" i="0" u="none" strike="noStrike" baseline="0">
              <a:solidFill>
                <a:srgbClr val="000000"/>
              </a:solidFill>
              <a:latin typeface="Verdana"/>
              <a:ea typeface="Verdana"/>
              <a:cs typeface="Verdana"/>
            </a:rPr>
            <a:t>H</a:t>
          </a:r>
          <a:r>
            <a:rPr lang="en-US" sz="1400" b="0" i="0" u="none" strike="noStrike" baseline="-25000">
              <a:solidFill>
                <a:srgbClr val="000000"/>
              </a:solidFill>
              <a:latin typeface="Verdana"/>
              <a:ea typeface="Verdana"/>
              <a:cs typeface="Verdana"/>
            </a:rPr>
            <a:t>-1</a:t>
          </a:r>
        </a:p>
      </cdr:txBody>
    </cdr:sp>
  </cdr:relSizeAnchor>
  <cdr:relSizeAnchor xmlns:cdr="http://schemas.openxmlformats.org/drawingml/2006/chartDrawing">
    <cdr:from>
      <cdr:x>0.39758</cdr:x>
      <cdr:y>0.06996</cdr:y>
    </cdr:from>
    <cdr:to>
      <cdr:x>0.48587</cdr:x>
      <cdr:y>0.12648</cdr:y>
    </cdr:to>
    <cdr:sp macro="" textlink="">
      <cdr:nvSpPr>
        <cdr:cNvPr id="9" name="Text Box 3"/>
        <cdr:cNvSpPr txBox="1">
          <a:spLocks xmlns:a="http://schemas.openxmlformats.org/drawingml/2006/main" noChangeArrowheads="1"/>
        </cdr:cNvSpPr>
      </cdr:nvSpPr>
      <cdr:spPr bwMode="auto">
        <a:xfrm xmlns:a="http://schemas.openxmlformats.org/drawingml/2006/main">
          <a:off x="3410527" y="408709"/>
          <a:ext cx="757381" cy="33020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NaAl</a:t>
          </a:r>
          <a:r>
            <a:rPr lang="en-US" sz="1400" b="0" i="0" baseline="0">
              <a:effectLst/>
              <a:latin typeface="Verdana"/>
              <a:ea typeface="+mn-ea"/>
              <a:cs typeface="Verdana"/>
            </a:rPr>
            <a:t>Si</a:t>
          </a:r>
          <a:r>
            <a:rPr lang="en-US" sz="1400" b="0" i="0" baseline="-25000">
              <a:effectLst/>
              <a:latin typeface="Verdana"/>
              <a:ea typeface="+mn-ea"/>
              <a:cs typeface="Verdana"/>
            </a:rPr>
            <a:t>-1</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0.05841</cdr:x>
      <cdr:y>0.83083</cdr:y>
    </cdr:from>
    <cdr:to>
      <cdr:x>0.22073</cdr:x>
      <cdr:y>0.88933</cdr:y>
    </cdr:to>
    <cdr:sp macro="" textlink="">
      <cdr:nvSpPr>
        <cdr:cNvPr id="10" name="Text Box 3"/>
        <cdr:cNvSpPr txBox="1">
          <a:spLocks xmlns:a="http://schemas.openxmlformats.org/drawingml/2006/main" noChangeArrowheads="1"/>
        </cdr:cNvSpPr>
      </cdr:nvSpPr>
      <cdr:spPr bwMode="auto">
        <a:xfrm xmlns:a="http://schemas.openxmlformats.org/drawingml/2006/main">
          <a:off x="501071" y="4853709"/>
          <a:ext cx="1392383" cy="34174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Tremolite + Ferroactinolite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0.24549</cdr:x>
      <cdr:y>0.23597</cdr:y>
    </cdr:from>
    <cdr:to>
      <cdr:x>0.40781</cdr:x>
      <cdr:y>0.29447</cdr:y>
    </cdr:to>
    <cdr:sp macro="" textlink="">
      <cdr:nvSpPr>
        <cdr:cNvPr id="11" name="Text Box 3"/>
        <cdr:cNvSpPr txBox="1">
          <a:spLocks xmlns:a="http://schemas.openxmlformats.org/drawingml/2006/main" noChangeArrowheads="1"/>
        </cdr:cNvSpPr>
      </cdr:nvSpPr>
      <cdr:spPr bwMode="auto">
        <a:xfrm xmlns:a="http://schemas.openxmlformats.org/drawingml/2006/main">
          <a:off x="2105892" y="1378527"/>
          <a:ext cx="1392383" cy="34174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Richterite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0.19569</cdr:x>
      <cdr:y>0.32885</cdr:y>
    </cdr:from>
    <cdr:to>
      <cdr:x>0.35801</cdr:x>
      <cdr:y>0.38735</cdr:y>
    </cdr:to>
    <cdr:sp macro="" textlink="">
      <cdr:nvSpPr>
        <cdr:cNvPr id="12" name="Text Box 3"/>
        <cdr:cNvSpPr txBox="1">
          <a:spLocks xmlns:a="http://schemas.openxmlformats.org/drawingml/2006/main" noChangeArrowheads="1"/>
        </cdr:cNvSpPr>
      </cdr:nvSpPr>
      <cdr:spPr bwMode="auto">
        <a:xfrm xmlns:a="http://schemas.openxmlformats.org/drawingml/2006/main">
          <a:off x="1678709" y="1921163"/>
          <a:ext cx="1392383" cy="34174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Al-Winchite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0.14455</cdr:x>
      <cdr:y>0.4415</cdr:y>
    </cdr:from>
    <cdr:to>
      <cdr:x>0.30686</cdr:x>
      <cdr:y>0.5</cdr:y>
    </cdr:to>
    <cdr:sp macro="" textlink="">
      <cdr:nvSpPr>
        <cdr:cNvPr id="13" name="Text Box 3"/>
        <cdr:cNvSpPr txBox="1">
          <a:spLocks xmlns:a="http://schemas.openxmlformats.org/drawingml/2006/main" noChangeArrowheads="1"/>
        </cdr:cNvSpPr>
      </cdr:nvSpPr>
      <cdr:spPr bwMode="auto">
        <a:xfrm xmlns:a="http://schemas.openxmlformats.org/drawingml/2006/main">
          <a:off x="1240004" y="2579265"/>
          <a:ext cx="1392339"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Edenite/</a:t>
          </a:r>
        </a:p>
        <a:p xmlns:a="http://schemas.openxmlformats.org/drawingml/2006/main">
          <a:pPr algn="l" rtl="0">
            <a:defRPr sz="1000"/>
          </a:pPr>
          <a:r>
            <a:rPr lang="en-US" sz="1400" b="0" i="0" u="none" strike="noStrike" baseline="0">
              <a:solidFill>
                <a:srgbClr val="000000"/>
              </a:solidFill>
              <a:latin typeface="Verdana"/>
              <a:ea typeface="Verdana"/>
              <a:cs typeface="Verdana"/>
            </a:rPr>
            <a:t>Pargasite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0.37604</cdr:x>
      <cdr:y>0.84269</cdr:y>
    </cdr:from>
    <cdr:to>
      <cdr:x>0.53836</cdr:x>
      <cdr:y>0.90119</cdr:y>
    </cdr:to>
    <cdr:sp macro="" textlink="">
      <cdr:nvSpPr>
        <cdr:cNvPr id="14" name="Text Box 3"/>
        <cdr:cNvSpPr txBox="1">
          <a:spLocks xmlns:a="http://schemas.openxmlformats.org/drawingml/2006/main" noChangeArrowheads="1"/>
        </cdr:cNvSpPr>
      </cdr:nvSpPr>
      <cdr:spPr bwMode="auto">
        <a:xfrm xmlns:a="http://schemas.openxmlformats.org/drawingml/2006/main">
          <a:off x="3225800" y="4922982"/>
          <a:ext cx="1392383" cy="34174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Kaersutite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0.39758</cdr:x>
      <cdr:y>0.0166</cdr:y>
    </cdr:from>
    <cdr:to>
      <cdr:x>0.5599</cdr:x>
      <cdr:y>0.0751</cdr:y>
    </cdr:to>
    <cdr:sp macro="" textlink="">
      <cdr:nvSpPr>
        <cdr:cNvPr id="15" name="Text Box 3"/>
        <cdr:cNvSpPr txBox="1">
          <a:spLocks xmlns:a="http://schemas.openxmlformats.org/drawingml/2006/main" noChangeArrowheads="1"/>
        </cdr:cNvSpPr>
      </cdr:nvSpPr>
      <cdr:spPr bwMode="auto">
        <a:xfrm xmlns:a="http://schemas.openxmlformats.org/drawingml/2006/main">
          <a:off x="3410527" y="96982"/>
          <a:ext cx="1392426"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Na-Ged</a:t>
          </a:r>
          <a:endParaRPr lang="en-US" sz="1400" b="0" i="0" u="none" strike="noStrike" baseline="-25000">
            <a:solidFill>
              <a:srgbClr val="000000"/>
            </a:solidFill>
            <a:latin typeface="Verdana"/>
            <a:ea typeface="Verdana"/>
            <a:cs typeface="Verdana"/>
          </a:endParaRPr>
        </a:p>
      </cdr:txBody>
    </cdr:sp>
  </cdr:relSizeAnchor>
</c:userShapes>
</file>

<file path=xl/drawings/drawing15.xml><?xml version="1.0" encoding="utf-8"?>
<xdr:wsDr xmlns:xdr="http://schemas.openxmlformats.org/drawingml/2006/spreadsheetDrawing" xmlns:a="http://schemas.openxmlformats.org/drawingml/2006/main">
  <xdr:absoluteAnchor>
    <xdr:pos x="0" y="0"/>
    <xdr:ext cx="8574631" cy="5830067"/>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6.xml><?xml version="1.0" encoding="utf-8"?>
<c:userShapes xmlns:c="http://schemas.openxmlformats.org/drawingml/2006/chart">
  <cdr:relSizeAnchor xmlns:cdr="http://schemas.openxmlformats.org/drawingml/2006/chartDrawing">
    <cdr:from>
      <cdr:x>0.77443</cdr:x>
      <cdr:y>0.89605</cdr:y>
    </cdr:from>
    <cdr:to>
      <cdr:x>0.96635</cdr:x>
      <cdr:y>0.96641</cdr:y>
    </cdr:to>
    <cdr:sp macro="" textlink="">
      <cdr:nvSpPr>
        <cdr:cNvPr id="7" name="Text Box 2"/>
        <cdr:cNvSpPr txBox="1">
          <a:spLocks xmlns:a="http://schemas.openxmlformats.org/drawingml/2006/main" noChangeArrowheads="1"/>
        </cdr:cNvSpPr>
      </cdr:nvSpPr>
      <cdr:spPr bwMode="auto">
        <a:xfrm xmlns:a="http://schemas.openxmlformats.org/drawingml/2006/main">
          <a:off x="6643269" y="5234704"/>
          <a:ext cx="1646342" cy="4110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Na</a:t>
          </a:r>
          <a:r>
            <a:rPr lang="en-US" sz="1400" b="0" i="0" u="none" strike="noStrike" baseline="0">
              <a:solidFill>
                <a:sysClr val="windowText" lastClr="000000"/>
              </a:solidFill>
              <a:effectLst/>
              <a:latin typeface="Verdana"/>
              <a:ea typeface="+mn-ea"/>
              <a:cs typeface="Verdana"/>
            </a:rPr>
            <a:t>Ti</a:t>
          </a:r>
          <a:r>
            <a:rPr lang="en-US" sz="1400" b="0" i="0" baseline="0">
              <a:effectLst/>
              <a:latin typeface="Verdana"/>
              <a:ea typeface="+mn-ea"/>
              <a:cs typeface="Verdana"/>
            </a:rPr>
            <a:t>Al</a:t>
          </a:r>
          <a:r>
            <a:rPr lang="en-US" sz="1400" b="0" i="0" baseline="-25000">
              <a:effectLst/>
              <a:latin typeface="Verdana"/>
              <a:ea typeface="+mn-ea"/>
              <a:cs typeface="Verdana"/>
            </a:rPr>
            <a:t>2</a:t>
          </a:r>
          <a:r>
            <a:rPr lang="en-US" sz="1400" b="0" i="0" baseline="0">
              <a:effectLst/>
              <a:latin typeface="Verdana"/>
              <a:ea typeface="+mn-ea"/>
              <a:cs typeface="Verdana"/>
            </a:rPr>
            <a:t>Fm</a:t>
          </a:r>
          <a:r>
            <a:rPr lang="en-US" sz="1400" b="0" i="0" baseline="-25000">
              <a:effectLst/>
              <a:latin typeface="Verdana"/>
              <a:ea typeface="+mn-ea"/>
              <a:cs typeface="Verdana"/>
            </a:rPr>
            <a:t>-1</a:t>
          </a:r>
          <a:r>
            <a:rPr lang="en-US" sz="1400" b="0" i="0" baseline="0">
              <a:effectLst/>
              <a:latin typeface="Verdana"/>
              <a:ea typeface="+mn-ea"/>
              <a:cs typeface="Verdana"/>
            </a:rPr>
            <a:t>Si</a:t>
          </a:r>
          <a:r>
            <a:rPr lang="en-US" sz="1400" b="0" i="0" baseline="-25000">
              <a:effectLst/>
              <a:latin typeface="Verdana"/>
              <a:ea typeface="+mn-ea"/>
              <a:cs typeface="Verdana"/>
            </a:rPr>
            <a:t>-2</a:t>
          </a:r>
          <a:r>
            <a:rPr lang="en-US" sz="1400" b="0" i="0" u="none" strike="noStrike" baseline="0">
              <a:solidFill>
                <a:srgbClr val="000000"/>
              </a:solidFill>
              <a:latin typeface="Verdana"/>
              <a:ea typeface="Verdana"/>
              <a:cs typeface="Verdana"/>
            </a:rPr>
            <a:t>H</a:t>
          </a:r>
          <a:r>
            <a:rPr lang="en-US" sz="1400" b="0" i="0" u="none" strike="noStrike" baseline="-25000">
              <a:solidFill>
                <a:srgbClr val="000000"/>
              </a:solidFill>
              <a:latin typeface="Verdana"/>
              <a:ea typeface="Verdana"/>
              <a:cs typeface="Verdana"/>
            </a:rPr>
            <a:t>-1</a:t>
          </a:r>
        </a:p>
      </cdr:txBody>
    </cdr:sp>
  </cdr:relSizeAnchor>
  <cdr:relSizeAnchor xmlns:cdr="http://schemas.openxmlformats.org/drawingml/2006/chartDrawing">
    <cdr:from>
      <cdr:x>0.43527</cdr:x>
      <cdr:y>0.07194</cdr:y>
    </cdr:from>
    <cdr:to>
      <cdr:x>0.52356</cdr:x>
      <cdr:y>0.12846</cdr:y>
    </cdr:to>
    <cdr:sp macro="" textlink="">
      <cdr:nvSpPr>
        <cdr:cNvPr id="9" name="Text Box 3"/>
        <cdr:cNvSpPr txBox="1">
          <a:spLocks xmlns:a="http://schemas.openxmlformats.org/drawingml/2006/main" noChangeArrowheads="1"/>
        </cdr:cNvSpPr>
      </cdr:nvSpPr>
      <cdr:spPr bwMode="auto">
        <a:xfrm xmlns:a="http://schemas.openxmlformats.org/drawingml/2006/main">
          <a:off x="3733823" y="420251"/>
          <a:ext cx="757376" cy="33019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NaAl</a:t>
          </a:r>
          <a:r>
            <a:rPr lang="en-US" sz="1400" b="0" i="0" baseline="0">
              <a:effectLst/>
              <a:latin typeface="Verdana"/>
              <a:ea typeface="+mn-ea"/>
              <a:cs typeface="Verdana"/>
            </a:rPr>
            <a:t>Si</a:t>
          </a:r>
          <a:r>
            <a:rPr lang="en-US" sz="1400" b="0" i="0" baseline="-25000">
              <a:effectLst/>
              <a:latin typeface="Verdana"/>
              <a:ea typeface="+mn-ea"/>
              <a:cs typeface="Verdana"/>
            </a:rPr>
            <a:t>-1</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0.05572</cdr:x>
      <cdr:y>0.91976</cdr:y>
    </cdr:from>
    <cdr:to>
      <cdr:x>0.16689</cdr:x>
      <cdr:y>0.97826</cdr:y>
    </cdr:to>
    <cdr:sp macro="" textlink="">
      <cdr:nvSpPr>
        <cdr:cNvPr id="10" name="Text Box 3"/>
        <cdr:cNvSpPr txBox="1">
          <a:spLocks xmlns:a="http://schemas.openxmlformats.org/drawingml/2006/main" noChangeArrowheads="1"/>
        </cdr:cNvSpPr>
      </cdr:nvSpPr>
      <cdr:spPr bwMode="auto">
        <a:xfrm xmlns:a="http://schemas.openxmlformats.org/drawingml/2006/main">
          <a:off x="477967" y="5373255"/>
          <a:ext cx="953670"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Tremolite/</a:t>
          </a:r>
        </a:p>
        <a:p xmlns:a="http://schemas.openxmlformats.org/drawingml/2006/main">
          <a:pPr algn="l" rtl="0">
            <a:defRPr sz="1000"/>
          </a:pPr>
          <a:r>
            <a:rPr lang="en-US" sz="1400" b="0" i="0" u="none" strike="noStrike" baseline="0">
              <a:solidFill>
                <a:srgbClr val="000000"/>
              </a:solidFill>
              <a:latin typeface="Verdana"/>
              <a:ea typeface="Verdana"/>
              <a:cs typeface="Verdana"/>
            </a:rPr>
            <a:t>Edenite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0.15666</cdr:x>
      <cdr:y>0.46324</cdr:y>
    </cdr:from>
    <cdr:to>
      <cdr:x>0.36878</cdr:x>
      <cdr:y>0.52174</cdr:y>
    </cdr:to>
    <cdr:sp macro="" textlink="">
      <cdr:nvSpPr>
        <cdr:cNvPr id="12" name="Text Box 3"/>
        <cdr:cNvSpPr txBox="1">
          <a:spLocks xmlns:a="http://schemas.openxmlformats.org/drawingml/2006/main" noChangeArrowheads="1"/>
        </cdr:cNvSpPr>
      </cdr:nvSpPr>
      <cdr:spPr bwMode="auto">
        <a:xfrm xmlns:a="http://schemas.openxmlformats.org/drawingml/2006/main">
          <a:off x="1343864" y="2706233"/>
          <a:ext cx="1819591"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Al-Tschermakite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0.14186</cdr:x>
      <cdr:y>0.61146</cdr:y>
    </cdr:from>
    <cdr:to>
      <cdr:x>0.30417</cdr:x>
      <cdr:y>0.66996</cdr:y>
    </cdr:to>
    <cdr:sp macro="" textlink="">
      <cdr:nvSpPr>
        <cdr:cNvPr id="13" name="Text Box 3"/>
        <cdr:cNvSpPr txBox="1">
          <a:spLocks xmlns:a="http://schemas.openxmlformats.org/drawingml/2006/main" noChangeArrowheads="1"/>
        </cdr:cNvSpPr>
      </cdr:nvSpPr>
      <cdr:spPr bwMode="auto">
        <a:xfrm xmlns:a="http://schemas.openxmlformats.org/drawingml/2006/main">
          <a:off x="1216898" y="3572152"/>
          <a:ext cx="1392340"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Pargasite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0.41373</cdr:x>
      <cdr:y>0.92174</cdr:y>
    </cdr:from>
    <cdr:to>
      <cdr:x>0.57605</cdr:x>
      <cdr:y>0.98024</cdr:y>
    </cdr:to>
    <cdr:sp macro="" textlink="">
      <cdr:nvSpPr>
        <cdr:cNvPr id="14" name="Text Box 3"/>
        <cdr:cNvSpPr txBox="1">
          <a:spLocks xmlns:a="http://schemas.openxmlformats.org/drawingml/2006/main" noChangeArrowheads="1"/>
        </cdr:cNvSpPr>
      </cdr:nvSpPr>
      <cdr:spPr bwMode="auto">
        <a:xfrm xmlns:a="http://schemas.openxmlformats.org/drawingml/2006/main">
          <a:off x="3549047" y="5384813"/>
          <a:ext cx="139242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Kaersutite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0.44065</cdr:x>
      <cdr:y>0.02846</cdr:y>
    </cdr:from>
    <cdr:to>
      <cdr:x>0.5424</cdr:x>
      <cdr:y>0.08696</cdr:y>
    </cdr:to>
    <cdr:sp macro="" textlink="">
      <cdr:nvSpPr>
        <cdr:cNvPr id="15" name="Text Box 3"/>
        <cdr:cNvSpPr txBox="1">
          <a:spLocks xmlns:a="http://schemas.openxmlformats.org/drawingml/2006/main" noChangeArrowheads="1"/>
        </cdr:cNvSpPr>
      </cdr:nvSpPr>
      <cdr:spPr bwMode="auto">
        <a:xfrm xmlns:a="http://schemas.openxmlformats.org/drawingml/2006/main">
          <a:off x="3780005" y="166250"/>
          <a:ext cx="872813"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Gedrite</a:t>
          </a:r>
          <a:endParaRPr lang="en-US" sz="1400" b="0" i="0" u="none" strike="noStrike" baseline="-25000">
            <a:solidFill>
              <a:srgbClr val="000000"/>
            </a:solidFill>
            <a:latin typeface="Verdana"/>
            <a:ea typeface="Verdana"/>
            <a:cs typeface="Verdana"/>
          </a:endParaRPr>
        </a:p>
      </cdr:txBody>
    </cdr:sp>
  </cdr:relSizeAnchor>
</c:userShapes>
</file>

<file path=xl/drawings/drawing17.xml><?xml version="1.0" encoding="utf-8"?>
<xdr:wsDr xmlns:xdr="http://schemas.openxmlformats.org/drawingml/2006/spreadsheetDrawing" xmlns:a="http://schemas.openxmlformats.org/drawingml/2006/main">
  <xdr:absoluteAnchor>
    <xdr:pos x="0" y="0"/>
    <xdr:ext cx="8574631" cy="5830067"/>
    <xdr:graphicFrame macro="">
      <xdr:nvGraphicFramePr>
        <xdr:cNvPr id="2" name="Chart 1">
          <a:extLst>
            <a:ext uri="{FF2B5EF4-FFF2-40B4-BE49-F238E27FC236}">
              <a16:creationId xmlns:a16="http://schemas.microsoft.com/office/drawing/2014/main" id="{00000000-0008-0000-0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8.xml><?xml version="1.0" encoding="utf-8"?>
<c:userShapes xmlns:c="http://schemas.openxmlformats.org/drawingml/2006/chart">
  <cdr:relSizeAnchor xmlns:cdr="http://schemas.openxmlformats.org/drawingml/2006/chartDrawing">
    <cdr:from>
      <cdr:x>0.44065</cdr:x>
      <cdr:y>0.03241</cdr:y>
    </cdr:from>
    <cdr:to>
      <cdr:x>0.58681</cdr:x>
      <cdr:y>0.09091</cdr:y>
    </cdr:to>
    <cdr:sp macro="" textlink="">
      <cdr:nvSpPr>
        <cdr:cNvPr id="9" name="Text Box 3"/>
        <cdr:cNvSpPr txBox="1">
          <a:spLocks xmlns:a="http://schemas.openxmlformats.org/drawingml/2006/main" noChangeArrowheads="1"/>
        </cdr:cNvSpPr>
      </cdr:nvSpPr>
      <cdr:spPr bwMode="auto">
        <a:xfrm xmlns:a="http://schemas.openxmlformats.org/drawingml/2006/main">
          <a:off x="3780009" y="189342"/>
          <a:ext cx="1253810"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marL="0" marR="0" indent="0" algn="l" defTabSz="914400" rtl="0" eaLnBrk="1" fontAlgn="auto" latinLnBrk="0" hangingPunct="1">
            <a:lnSpc>
              <a:spcPct val="100000"/>
            </a:lnSpc>
            <a:spcBef>
              <a:spcPts val="0"/>
            </a:spcBef>
            <a:spcAft>
              <a:spcPts val="0"/>
            </a:spcAft>
            <a:buClrTx/>
            <a:buSzTx/>
            <a:buFontTx/>
            <a:buNone/>
            <a:tabLst/>
            <a:defRPr sz="1000"/>
          </a:pPr>
          <a:r>
            <a:rPr lang="en-US" sz="1400" b="0" i="0" u="none" strike="noStrike" baseline="0">
              <a:solidFill>
                <a:srgbClr val="000000"/>
              </a:solidFill>
              <a:latin typeface="Verdana"/>
              <a:ea typeface="Verdana"/>
              <a:cs typeface="Verdana"/>
            </a:rPr>
            <a:t>Al</a:t>
          </a:r>
          <a:r>
            <a:rPr lang="en-US" sz="1400" b="0" i="0" u="none" strike="noStrike" baseline="-25000">
              <a:solidFill>
                <a:sysClr val="windowText" lastClr="000000"/>
              </a:solidFill>
              <a:effectLst/>
              <a:latin typeface="+mn-lt"/>
              <a:ea typeface="+mn-ea"/>
              <a:cs typeface="+mn-cs"/>
            </a:rPr>
            <a:t>4</a:t>
          </a:r>
          <a:r>
            <a:rPr lang="en-US" sz="1400" b="0" i="0" u="none" strike="noStrike" baseline="0">
              <a:solidFill>
                <a:srgbClr val="000000"/>
              </a:solidFill>
              <a:latin typeface="Verdana"/>
              <a:ea typeface="Verdana"/>
              <a:cs typeface="Verdana"/>
            </a:rPr>
            <a:t>Si</a:t>
          </a:r>
          <a:r>
            <a:rPr lang="en-US" sz="1400" b="0" i="0" baseline="-25000">
              <a:effectLst/>
              <a:latin typeface="+mn-lt"/>
              <a:ea typeface="+mn-ea"/>
              <a:cs typeface="+mn-cs"/>
            </a:rPr>
            <a:t>-2</a:t>
          </a:r>
          <a:r>
            <a:rPr lang="en-US" sz="1400" b="0" i="0" u="none" strike="noStrike" baseline="0">
              <a:solidFill>
                <a:sysClr val="windowText" lastClr="000000"/>
              </a:solidFill>
              <a:effectLst/>
              <a:latin typeface="Verdana"/>
              <a:ea typeface="+mn-ea"/>
              <a:cs typeface="Verdana"/>
            </a:rPr>
            <a:t>Mg</a:t>
          </a:r>
          <a:r>
            <a:rPr lang="en-US" sz="1400" b="0" i="0" baseline="-25000">
              <a:effectLst/>
              <a:latin typeface="Verdana"/>
              <a:ea typeface="+mn-ea"/>
              <a:cs typeface="Verdana"/>
            </a:rPr>
            <a:t>-2</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0.0463</cdr:x>
      <cdr:y>0.89802</cdr:y>
    </cdr:from>
    <cdr:to>
      <cdr:x>0.20862</cdr:x>
      <cdr:y>0.95652</cdr:y>
    </cdr:to>
    <cdr:sp macro="" textlink="">
      <cdr:nvSpPr>
        <cdr:cNvPr id="10" name="Text Box 3"/>
        <cdr:cNvSpPr txBox="1">
          <a:spLocks xmlns:a="http://schemas.openxmlformats.org/drawingml/2006/main" noChangeArrowheads="1"/>
        </cdr:cNvSpPr>
      </cdr:nvSpPr>
      <cdr:spPr bwMode="auto">
        <a:xfrm xmlns:a="http://schemas.openxmlformats.org/drawingml/2006/main">
          <a:off x="397139" y="5246237"/>
          <a:ext cx="1392426"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Tremolite + Ferroactinolite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0.08937</cdr:x>
      <cdr:y>0.57588</cdr:y>
    </cdr:from>
    <cdr:to>
      <cdr:x>0.25169</cdr:x>
      <cdr:y>0.63438</cdr:y>
    </cdr:to>
    <cdr:sp macro="" textlink="">
      <cdr:nvSpPr>
        <cdr:cNvPr id="12" name="Text Box 3"/>
        <cdr:cNvSpPr txBox="1">
          <a:spLocks xmlns:a="http://schemas.openxmlformats.org/drawingml/2006/main" noChangeArrowheads="1"/>
        </cdr:cNvSpPr>
      </cdr:nvSpPr>
      <cdr:spPr bwMode="auto">
        <a:xfrm xmlns:a="http://schemas.openxmlformats.org/drawingml/2006/main">
          <a:off x="766611" y="3364317"/>
          <a:ext cx="1392426"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Pargasite/</a:t>
          </a:r>
        </a:p>
        <a:p xmlns:a="http://schemas.openxmlformats.org/drawingml/2006/main">
          <a:pPr algn="l" rtl="0">
            <a:defRPr sz="1000"/>
          </a:pPr>
          <a:r>
            <a:rPr lang="en-US" sz="1400" b="0" i="0" u="none" strike="noStrike" baseline="0">
              <a:solidFill>
                <a:srgbClr val="000000"/>
              </a:solidFill>
              <a:latin typeface="Verdana"/>
              <a:ea typeface="Verdana"/>
              <a:cs typeface="Verdana"/>
            </a:rPr>
            <a:t>Al-Winchite</a:t>
          </a:r>
        </a:p>
      </cdr:txBody>
    </cdr:sp>
  </cdr:relSizeAnchor>
  <cdr:relSizeAnchor xmlns:cdr="http://schemas.openxmlformats.org/drawingml/2006/chartDrawing">
    <cdr:from>
      <cdr:x>0.4393</cdr:x>
      <cdr:y>0.9</cdr:y>
    </cdr:from>
    <cdr:to>
      <cdr:x>0.60161</cdr:x>
      <cdr:y>0.9585</cdr:y>
    </cdr:to>
    <cdr:sp macro="" textlink="">
      <cdr:nvSpPr>
        <cdr:cNvPr id="13" name="Text Box 3"/>
        <cdr:cNvSpPr txBox="1">
          <a:spLocks xmlns:a="http://schemas.openxmlformats.org/drawingml/2006/main" noChangeArrowheads="1"/>
        </cdr:cNvSpPr>
      </cdr:nvSpPr>
      <cdr:spPr bwMode="auto">
        <a:xfrm xmlns:a="http://schemas.openxmlformats.org/drawingml/2006/main">
          <a:off x="3768439" y="5257812"/>
          <a:ext cx="1392339"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Edenite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0.12436</cdr:x>
      <cdr:y>0.43359</cdr:y>
    </cdr:from>
    <cdr:to>
      <cdr:x>0.30418</cdr:x>
      <cdr:y>0.49209</cdr:y>
    </cdr:to>
    <cdr:sp macro="" textlink="">
      <cdr:nvSpPr>
        <cdr:cNvPr id="15" name="Text Box 3"/>
        <cdr:cNvSpPr txBox="1">
          <a:spLocks xmlns:a="http://schemas.openxmlformats.org/drawingml/2006/main" noChangeArrowheads="1"/>
        </cdr:cNvSpPr>
      </cdr:nvSpPr>
      <cdr:spPr bwMode="auto">
        <a:xfrm xmlns:a="http://schemas.openxmlformats.org/drawingml/2006/main">
          <a:off x="1066764" y="2533058"/>
          <a:ext cx="154254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Al-Tschermakite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0.74347</cdr:x>
      <cdr:y>0.57391</cdr:y>
    </cdr:from>
    <cdr:to>
      <cdr:x>0.90579</cdr:x>
      <cdr:y>0.63241</cdr:y>
    </cdr:to>
    <cdr:sp macro="" textlink="">
      <cdr:nvSpPr>
        <cdr:cNvPr id="16" name="Text Box 3"/>
        <cdr:cNvSpPr txBox="1">
          <a:spLocks xmlns:a="http://schemas.openxmlformats.org/drawingml/2006/main" noChangeArrowheads="1"/>
        </cdr:cNvSpPr>
      </cdr:nvSpPr>
      <cdr:spPr bwMode="auto">
        <a:xfrm xmlns:a="http://schemas.openxmlformats.org/drawingml/2006/main">
          <a:off x="6377679" y="3352807"/>
          <a:ext cx="139242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K-Gedrite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0.8646</cdr:x>
      <cdr:y>0.83874</cdr:y>
    </cdr:from>
    <cdr:to>
      <cdr:x>0.93405</cdr:x>
      <cdr:y>0.89724</cdr:y>
    </cdr:to>
    <cdr:sp macro="" textlink="">
      <cdr:nvSpPr>
        <cdr:cNvPr id="11" name="Text Box 3"/>
        <cdr:cNvSpPr txBox="1">
          <a:spLocks xmlns:a="http://schemas.openxmlformats.org/drawingml/2006/main" noChangeArrowheads="1"/>
        </cdr:cNvSpPr>
      </cdr:nvSpPr>
      <cdr:spPr bwMode="auto">
        <a:xfrm xmlns:a="http://schemas.openxmlformats.org/drawingml/2006/main">
          <a:off x="7416815" y="4899890"/>
          <a:ext cx="595730"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marL="0" marR="0" indent="0" algn="l" defTabSz="914400" rtl="0" eaLnBrk="1" fontAlgn="auto" latinLnBrk="0" hangingPunct="1">
            <a:lnSpc>
              <a:spcPct val="100000"/>
            </a:lnSpc>
            <a:spcBef>
              <a:spcPts val="0"/>
            </a:spcBef>
            <a:spcAft>
              <a:spcPts val="0"/>
            </a:spcAft>
            <a:buClrTx/>
            <a:buSzTx/>
            <a:buFontTx/>
            <a:buNone/>
            <a:tabLst/>
            <a:defRPr sz="1000"/>
          </a:pPr>
          <a:r>
            <a:rPr lang="en-US" sz="1400" b="0" i="0" u="none" strike="noStrike" baseline="0">
              <a:solidFill>
                <a:srgbClr val="000000"/>
              </a:solidFill>
              <a:latin typeface="Verdana"/>
              <a:ea typeface="Verdana"/>
              <a:cs typeface="Verdana"/>
            </a:rPr>
            <a:t>NaK</a:t>
          </a:r>
          <a:r>
            <a:rPr lang="en-US" sz="1400" b="0" i="0" baseline="-25000">
              <a:effectLst/>
              <a:latin typeface="+mn-lt"/>
              <a:ea typeface="+mn-ea"/>
              <a:cs typeface="+mn-cs"/>
            </a:rPr>
            <a:t>-1</a:t>
          </a:r>
          <a:endParaRPr lang="en-US" sz="1400" b="0" i="0" u="none" strike="noStrike" baseline="-25000">
            <a:solidFill>
              <a:srgbClr val="000000"/>
            </a:solidFill>
            <a:latin typeface="Verdana"/>
            <a:ea typeface="Verdana"/>
            <a:cs typeface="Verdana"/>
          </a:endParaRPr>
        </a:p>
      </cdr:txBody>
    </cdr:sp>
  </cdr:relSizeAnchor>
</c:userShapes>
</file>

<file path=xl/drawings/drawing19.xml><?xml version="1.0" encoding="utf-8"?>
<xdr:wsDr xmlns:xdr="http://schemas.openxmlformats.org/drawingml/2006/spreadsheetDrawing" xmlns:a="http://schemas.openxmlformats.org/drawingml/2006/main">
  <xdr:absoluteAnchor>
    <xdr:pos x="0" y="0"/>
    <xdr:ext cx="8574631" cy="5830067"/>
    <xdr:graphicFrame macro="">
      <xdr:nvGraphicFramePr>
        <xdr:cNvPr id="2" name="Chart 1">
          <a:extLst>
            <a:ext uri="{FF2B5EF4-FFF2-40B4-BE49-F238E27FC236}">
              <a16:creationId xmlns:a16="http://schemas.microsoft.com/office/drawing/2014/main" id="{00000000-0008-0000-0B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0.xml><?xml version="1.0" encoding="utf-8"?>
<c:userShapes xmlns:c="http://schemas.openxmlformats.org/drawingml/2006/chart">
  <cdr:relSizeAnchor xmlns:cdr="http://schemas.openxmlformats.org/drawingml/2006/chartDrawing">
    <cdr:from>
      <cdr:x>0.05841</cdr:x>
      <cdr:y>0.89407</cdr:y>
    </cdr:from>
    <cdr:to>
      <cdr:x>0.22073</cdr:x>
      <cdr:y>0.95257</cdr:y>
    </cdr:to>
    <cdr:sp macro="" textlink="">
      <cdr:nvSpPr>
        <cdr:cNvPr id="10" name="Text Box 3"/>
        <cdr:cNvSpPr txBox="1">
          <a:spLocks xmlns:a="http://schemas.openxmlformats.org/drawingml/2006/main" noChangeArrowheads="1"/>
        </cdr:cNvSpPr>
      </cdr:nvSpPr>
      <cdr:spPr bwMode="auto">
        <a:xfrm xmlns:a="http://schemas.openxmlformats.org/drawingml/2006/main">
          <a:off x="501057" y="5223164"/>
          <a:ext cx="139242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Tremolite + Ferroactinolite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0.551</cdr:x>
      <cdr:y>0.73202</cdr:y>
    </cdr:from>
    <cdr:to>
      <cdr:x>0.6541</cdr:x>
      <cdr:y>0.79052</cdr:y>
    </cdr:to>
    <cdr:sp macro="" textlink="">
      <cdr:nvSpPr>
        <cdr:cNvPr id="12" name="Text Box 3"/>
        <cdr:cNvSpPr txBox="1">
          <a:spLocks xmlns:a="http://schemas.openxmlformats.org/drawingml/2006/main" noChangeArrowheads="1"/>
        </cdr:cNvSpPr>
      </cdr:nvSpPr>
      <cdr:spPr bwMode="auto">
        <a:xfrm xmlns:a="http://schemas.openxmlformats.org/drawingml/2006/main">
          <a:off x="4726634" y="4276451"/>
          <a:ext cx="884420"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Al-Winch</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0.40296</cdr:x>
      <cdr:y>0.88419</cdr:y>
    </cdr:from>
    <cdr:to>
      <cdr:x>0.4926</cdr:x>
      <cdr:y>0.94269</cdr:y>
    </cdr:to>
    <cdr:sp macro="" textlink="">
      <cdr:nvSpPr>
        <cdr:cNvPr id="13" name="Text Box 3"/>
        <cdr:cNvSpPr txBox="1">
          <a:spLocks xmlns:a="http://schemas.openxmlformats.org/drawingml/2006/main" noChangeArrowheads="1"/>
        </cdr:cNvSpPr>
      </cdr:nvSpPr>
      <cdr:spPr bwMode="auto">
        <a:xfrm xmlns:a="http://schemas.openxmlformats.org/drawingml/2006/main">
          <a:off x="3456742" y="5165457"/>
          <a:ext cx="76889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Edenite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0.67348</cdr:x>
      <cdr:y>0.59763</cdr:y>
    </cdr:from>
    <cdr:to>
      <cdr:x>0.8358</cdr:x>
      <cdr:y>0.65613</cdr:y>
    </cdr:to>
    <cdr:sp macro="" textlink="">
      <cdr:nvSpPr>
        <cdr:cNvPr id="14" name="Text Box 3"/>
        <cdr:cNvSpPr txBox="1">
          <a:spLocks xmlns:a="http://schemas.openxmlformats.org/drawingml/2006/main" noChangeArrowheads="1"/>
        </cdr:cNvSpPr>
      </cdr:nvSpPr>
      <cdr:spPr bwMode="auto">
        <a:xfrm xmlns:a="http://schemas.openxmlformats.org/drawingml/2006/main">
          <a:off x="5777258" y="3491345"/>
          <a:ext cx="139242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Na-Gedrite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0.77309</cdr:x>
      <cdr:y>0.83676</cdr:y>
    </cdr:from>
    <cdr:to>
      <cdr:x>0.88695</cdr:x>
      <cdr:y>0.90712</cdr:y>
    </cdr:to>
    <cdr:sp macro="" textlink="">
      <cdr:nvSpPr>
        <cdr:cNvPr id="16" name="Text Box 2"/>
        <cdr:cNvSpPr txBox="1">
          <a:spLocks xmlns:a="http://schemas.openxmlformats.org/drawingml/2006/main" noChangeArrowheads="1"/>
        </cdr:cNvSpPr>
      </cdr:nvSpPr>
      <cdr:spPr bwMode="auto">
        <a:xfrm xmlns:a="http://schemas.openxmlformats.org/drawingml/2006/main">
          <a:off x="6631738" y="4888365"/>
          <a:ext cx="976722" cy="4110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Na</a:t>
          </a:r>
          <a:r>
            <a:rPr lang="en-US" sz="1400" b="0" i="0" baseline="0">
              <a:effectLst/>
              <a:latin typeface="Verdana"/>
              <a:ea typeface="+mn-ea"/>
              <a:cs typeface="Verdana"/>
            </a:rPr>
            <a:t>AlSi</a:t>
          </a:r>
          <a:r>
            <a:rPr lang="en-US" sz="1400" b="0" i="0" baseline="-25000">
              <a:effectLst/>
              <a:latin typeface="Verdana"/>
              <a:ea typeface="+mn-ea"/>
              <a:cs typeface="Verdana"/>
            </a:rPr>
            <a:t>-1</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0.1755</cdr:x>
      <cdr:y>0.45336</cdr:y>
    </cdr:from>
    <cdr:to>
      <cdr:x>0.2611</cdr:x>
      <cdr:y>0.51186</cdr:y>
    </cdr:to>
    <cdr:sp macro="" textlink="">
      <cdr:nvSpPr>
        <cdr:cNvPr id="15" name="Text Box 3"/>
        <cdr:cNvSpPr txBox="1">
          <a:spLocks xmlns:a="http://schemas.openxmlformats.org/drawingml/2006/main" noChangeArrowheads="1"/>
        </cdr:cNvSpPr>
      </cdr:nvSpPr>
      <cdr:spPr bwMode="auto">
        <a:xfrm xmlns:a="http://schemas.openxmlformats.org/drawingml/2006/main">
          <a:off x="1505527" y="2648528"/>
          <a:ext cx="734291"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Al-Tsch</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0.31682</cdr:x>
      <cdr:y>0.68854</cdr:y>
    </cdr:from>
    <cdr:to>
      <cdr:x>0.4253</cdr:x>
      <cdr:y>0.74704</cdr:y>
    </cdr:to>
    <cdr:sp macro="" textlink="">
      <cdr:nvSpPr>
        <cdr:cNvPr id="19" name="Text Box 3"/>
        <cdr:cNvSpPr txBox="1">
          <a:spLocks xmlns:a="http://schemas.openxmlformats.org/drawingml/2006/main" noChangeArrowheads="1"/>
        </cdr:cNvSpPr>
      </cdr:nvSpPr>
      <cdr:spPr bwMode="auto">
        <a:xfrm xmlns:a="http://schemas.openxmlformats.org/drawingml/2006/main">
          <a:off x="2717801" y="4022436"/>
          <a:ext cx="930564"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Pargasite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0.30471</cdr:x>
      <cdr:y>0.58182</cdr:y>
    </cdr:from>
    <cdr:to>
      <cdr:x>0.46703</cdr:x>
      <cdr:y>0.64032</cdr:y>
    </cdr:to>
    <cdr:sp macro="" textlink="">
      <cdr:nvSpPr>
        <cdr:cNvPr id="20" name="Text Box 3"/>
        <cdr:cNvSpPr txBox="1">
          <a:spLocks xmlns:a="http://schemas.openxmlformats.org/drawingml/2006/main" noChangeArrowheads="1"/>
        </cdr:cNvSpPr>
      </cdr:nvSpPr>
      <cdr:spPr bwMode="auto">
        <a:xfrm xmlns:a="http://schemas.openxmlformats.org/drawingml/2006/main">
          <a:off x="2613891" y="3398981"/>
          <a:ext cx="139242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Sadanagite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0.39623</cdr:x>
      <cdr:y>0.0166</cdr:y>
    </cdr:from>
    <cdr:to>
      <cdr:x>0.55855</cdr:x>
      <cdr:y>0.0751</cdr:y>
    </cdr:to>
    <cdr:sp macro="" textlink="">
      <cdr:nvSpPr>
        <cdr:cNvPr id="21" name="Text Box 3"/>
        <cdr:cNvSpPr txBox="1">
          <a:spLocks xmlns:a="http://schemas.openxmlformats.org/drawingml/2006/main" noChangeArrowheads="1"/>
        </cdr:cNvSpPr>
      </cdr:nvSpPr>
      <cdr:spPr bwMode="auto">
        <a:xfrm xmlns:a="http://schemas.openxmlformats.org/drawingml/2006/main">
          <a:off x="3398981" y="96982"/>
          <a:ext cx="1392425"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n-US" sz="1400" b="0" i="0" u="none" strike="noStrike" baseline="0">
              <a:solidFill>
                <a:srgbClr val="000000"/>
              </a:solidFill>
              <a:latin typeface="Verdana"/>
              <a:ea typeface="Verdana"/>
              <a:cs typeface="Verdana"/>
            </a:rPr>
            <a:t>Gedrite</a:t>
          </a:r>
          <a:endParaRPr lang="en-US" sz="1400" b="0" i="0" u="none" strike="noStrike" baseline="-25000">
            <a:solidFill>
              <a:srgbClr val="000000"/>
            </a:solidFill>
            <a:latin typeface="Verdana"/>
            <a:ea typeface="Verdana"/>
            <a:cs typeface="Verdana"/>
          </a:endParaRPr>
        </a:p>
      </cdr:txBody>
    </cdr:sp>
  </cdr:relSizeAnchor>
  <cdr:relSizeAnchor xmlns:cdr="http://schemas.openxmlformats.org/drawingml/2006/chartDrawing">
    <cdr:from>
      <cdr:x>0.38412</cdr:x>
      <cdr:y>0.06996</cdr:y>
    </cdr:from>
    <cdr:to>
      <cdr:x>0.53028</cdr:x>
      <cdr:y>0.12846</cdr:y>
    </cdr:to>
    <cdr:sp macro="" textlink="">
      <cdr:nvSpPr>
        <cdr:cNvPr id="22" name="Text Box 3"/>
        <cdr:cNvSpPr txBox="1">
          <a:spLocks xmlns:a="http://schemas.openxmlformats.org/drawingml/2006/main" noChangeArrowheads="1"/>
        </cdr:cNvSpPr>
      </cdr:nvSpPr>
      <cdr:spPr bwMode="auto">
        <a:xfrm xmlns:a="http://schemas.openxmlformats.org/drawingml/2006/main">
          <a:off x="3295072" y="408710"/>
          <a:ext cx="1253810" cy="3417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cdr:spPr>
      <cdr:txBody>
        <a:bodyPr xmlns:a="http://schemas.openxmlformats.org/drawingml/2006/main" wrap="square" lIns="27432" tIns="18288"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marL="0" marR="0" indent="0" algn="l" defTabSz="914400" rtl="0" eaLnBrk="1" fontAlgn="auto" latinLnBrk="0" hangingPunct="1">
            <a:lnSpc>
              <a:spcPct val="100000"/>
            </a:lnSpc>
            <a:spcBef>
              <a:spcPts val="0"/>
            </a:spcBef>
            <a:spcAft>
              <a:spcPts val="0"/>
            </a:spcAft>
            <a:buClrTx/>
            <a:buSzTx/>
            <a:buFontTx/>
            <a:buNone/>
            <a:tabLst/>
            <a:defRPr sz="1000"/>
          </a:pPr>
          <a:r>
            <a:rPr lang="en-US" sz="1400" b="0" i="0" u="none" strike="noStrike" baseline="0">
              <a:solidFill>
                <a:srgbClr val="000000"/>
              </a:solidFill>
              <a:latin typeface="Verdana"/>
              <a:ea typeface="Verdana"/>
              <a:cs typeface="Verdana"/>
            </a:rPr>
            <a:t>Al</a:t>
          </a:r>
          <a:r>
            <a:rPr lang="en-US" sz="1400" b="0" i="0" u="none" strike="noStrike" baseline="-25000">
              <a:solidFill>
                <a:sysClr val="windowText" lastClr="000000"/>
              </a:solidFill>
              <a:effectLst/>
              <a:latin typeface="+mn-lt"/>
              <a:ea typeface="+mn-ea"/>
              <a:cs typeface="+mn-cs"/>
            </a:rPr>
            <a:t>4</a:t>
          </a:r>
          <a:r>
            <a:rPr lang="en-US" sz="1400" b="0" i="0" u="none" strike="noStrike" baseline="0">
              <a:solidFill>
                <a:srgbClr val="000000"/>
              </a:solidFill>
              <a:latin typeface="Verdana"/>
              <a:ea typeface="Verdana"/>
              <a:cs typeface="Verdana"/>
            </a:rPr>
            <a:t>Si</a:t>
          </a:r>
          <a:r>
            <a:rPr lang="en-US" sz="1400" b="0" i="0" baseline="-25000">
              <a:effectLst/>
              <a:latin typeface="+mn-lt"/>
              <a:ea typeface="+mn-ea"/>
              <a:cs typeface="+mn-cs"/>
            </a:rPr>
            <a:t>-2</a:t>
          </a:r>
          <a:r>
            <a:rPr lang="en-US" sz="1400" b="0" i="0" u="none" strike="noStrike" baseline="0">
              <a:solidFill>
                <a:sysClr val="windowText" lastClr="000000"/>
              </a:solidFill>
              <a:effectLst/>
              <a:latin typeface="Verdana"/>
              <a:ea typeface="+mn-ea"/>
              <a:cs typeface="Verdana"/>
            </a:rPr>
            <a:t>Mg</a:t>
          </a:r>
          <a:r>
            <a:rPr lang="en-US" sz="1400" b="0" i="0" baseline="-25000">
              <a:effectLst/>
              <a:latin typeface="Verdana"/>
              <a:ea typeface="+mn-ea"/>
              <a:cs typeface="Verdana"/>
            </a:rPr>
            <a:t>-2</a:t>
          </a:r>
          <a:endParaRPr lang="en-US" sz="1400" b="0" i="0" u="none" strike="noStrike" baseline="-25000">
            <a:solidFill>
              <a:srgbClr val="000000"/>
            </a:solidFill>
            <a:latin typeface="Verdana"/>
            <a:ea typeface="Verdana"/>
            <a:cs typeface="Verdana"/>
          </a:endParaRPr>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topLeftCell="A17" workbookViewId="0"/>
  </sheetViews>
  <sheetFormatPr defaultColWidth="10.81640625" defaultRowHeight="12.5" x14ac:dyDescent="0.25"/>
  <cols>
    <col min="1" max="16384" width="10.81640625" style="136"/>
  </cols>
  <sheetData/>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V559"/>
  <sheetViews>
    <sheetView tabSelected="1" workbookViewId="0">
      <selection activeCell="AO15" sqref="AO15"/>
    </sheetView>
  </sheetViews>
  <sheetFormatPr defaultColWidth="35.36328125" defaultRowHeight="12.5" x14ac:dyDescent="0.25"/>
  <cols>
    <col min="1" max="1" width="25.6328125" customWidth="1"/>
    <col min="2" max="2" width="18.81640625" customWidth="1"/>
    <col min="3" max="3" width="18.6328125" style="3" customWidth="1"/>
    <col min="4" max="4" width="31.6328125" style="3" customWidth="1"/>
    <col min="5" max="5" width="2.81640625" customWidth="1"/>
    <col min="6" max="6" width="14.81640625" style="3" customWidth="1"/>
    <col min="7" max="7" width="15" style="3" customWidth="1"/>
    <col min="8" max="15" width="12.1796875" style="3" customWidth="1"/>
    <col min="16" max="17" width="12.6328125" style="3" customWidth="1"/>
    <col min="18" max="18" width="3.6328125" customWidth="1"/>
    <col min="19" max="19" width="12.6328125" style="3" customWidth="1"/>
    <col min="20" max="21" width="10.1796875" style="3" customWidth="1"/>
    <col min="22" max="22" width="10.1796875" style="9" customWidth="1"/>
    <col min="23" max="28" width="10.1796875" style="3" customWidth="1"/>
    <col min="29" max="29" width="3.6328125" customWidth="1"/>
    <col min="30" max="30" width="21" style="3" customWidth="1"/>
    <col min="31" max="31" width="4" style="3" customWidth="1"/>
    <col min="32" max="32" width="22.36328125" style="3" customWidth="1"/>
    <col min="33" max="33" width="23.6328125" style="3" customWidth="1"/>
    <col min="34" max="36" width="18.1796875" style="3" customWidth="1"/>
    <col min="37" max="37" width="5.453125" style="3" customWidth="1"/>
    <col min="38" max="44" width="13.81640625" style="3" customWidth="1"/>
    <col min="45" max="45" width="19" style="3" customWidth="1"/>
    <col min="46" max="46" width="12.453125" customWidth="1"/>
    <col min="47" max="47" width="9.453125" style="3" customWidth="1"/>
    <col min="48" max="48" width="18" customWidth="1"/>
    <col min="49" max="49" width="9.453125" style="3" customWidth="1"/>
    <col min="50" max="50" width="14.81640625" style="3" customWidth="1"/>
    <col min="51" max="51" width="3.6328125" style="3" customWidth="1"/>
    <col min="52" max="52" width="14.81640625" style="3" customWidth="1"/>
    <col min="53" max="53" width="3.81640625" style="3" customWidth="1"/>
    <col min="54" max="54" width="14.36328125" customWidth="1"/>
    <col min="55" max="58" width="14.36328125" style="3" customWidth="1"/>
    <col min="59" max="59" width="26.81640625" style="3" customWidth="1"/>
    <col min="60" max="60" width="4.1796875" style="3" customWidth="1"/>
    <col min="61" max="61" width="15.453125" style="3" customWidth="1"/>
    <col min="62" max="62" width="21.453125" style="3" customWidth="1"/>
    <col min="63" max="63" width="17.36328125" style="3" customWidth="1"/>
    <col min="64" max="64" width="16" style="3" customWidth="1"/>
    <col min="65" max="65" width="16.81640625" style="3" customWidth="1"/>
    <col min="66" max="66" width="16" style="3" customWidth="1"/>
    <col min="67" max="67" width="17.453125" style="3" customWidth="1"/>
    <col min="68" max="68" width="14.36328125" style="3" customWidth="1"/>
    <col min="69" max="70" width="15.36328125" style="3" customWidth="1"/>
    <col min="71" max="71" width="4.453125" style="3" customWidth="1"/>
    <col min="72" max="83" width="12.6328125" style="3" customWidth="1"/>
    <col min="84" max="86" width="12.6328125" customWidth="1"/>
    <col min="87" max="98" width="12.6328125" style="26" customWidth="1"/>
    <col min="99" max="100" width="12.6328125" customWidth="1"/>
    <col min="101" max="101" width="11.36328125" customWidth="1"/>
    <col min="102" max="112" width="12.6328125" customWidth="1"/>
    <col min="113" max="113" width="5" customWidth="1"/>
    <col min="114" max="135" width="10.36328125" customWidth="1"/>
    <col min="136" max="136" width="3.1796875" customWidth="1"/>
    <col min="137" max="149" width="10.36328125" customWidth="1"/>
    <col min="150" max="150" width="3" customWidth="1"/>
    <col min="151" max="163" width="10.36328125" customWidth="1"/>
    <col min="164" max="164" width="17.81640625" customWidth="1"/>
    <col min="165" max="165" width="14" customWidth="1"/>
    <col min="166" max="168" width="14.36328125" style="3" customWidth="1"/>
    <col min="169" max="169" width="2.453125" style="3" customWidth="1"/>
    <col min="170" max="173" width="14.36328125" style="3" customWidth="1"/>
    <col min="174" max="177" width="10.36328125" style="3" customWidth="1"/>
    <col min="178" max="180" width="14.453125" style="3" customWidth="1"/>
    <col min="181" max="182" width="13.81640625" style="3" customWidth="1"/>
    <col min="183" max="187" width="14.81640625" style="3" customWidth="1"/>
    <col min="188" max="188" width="8.1796875" style="3" customWidth="1"/>
    <col min="189" max="191" width="17.36328125" style="3" customWidth="1"/>
    <col min="192" max="192" width="9.81640625" style="64" customWidth="1"/>
    <col min="193" max="193" width="9.453125" style="3" customWidth="1"/>
    <col min="194" max="194" width="9.1796875" style="3" customWidth="1"/>
    <col min="195" max="195" width="6" style="3" customWidth="1"/>
    <col min="196" max="196" width="10.1796875" style="3" customWidth="1"/>
    <col min="197" max="197" width="1.36328125" style="3" customWidth="1"/>
    <col min="198" max="198" width="16.1796875" style="3" customWidth="1"/>
    <col min="199" max="199" width="1.36328125" style="3" customWidth="1"/>
    <col min="200" max="202" width="11.453125" style="3" customWidth="1"/>
    <col min="203" max="204" width="13.6328125" style="3" customWidth="1"/>
    <col min="205" max="16384" width="35.36328125" style="3"/>
  </cols>
  <sheetData>
    <row r="1" spans="1:204" ht="28" x14ac:dyDescent="0.6">
      <c r="A1" s="41" t="s">
        <v>32</v>
      </c>
      <c r="G1" s="7"/>
      <c r="H1" s="7"/>
      <c r="I1" s="7"/>
      <c r="J1" s="7"/>
      <c r="K1" s="7"/>
      <c r="L1" s="7"/>
      <c r="M1" s="7"/>
      <c r="N1" s="7"/>
      <c r="O1" s="7"/>
      <c r="T1" s="7"/>
      <c r="U1" s="7"/>
      <c r="V1" s="8"/>
      <c r="W1" s="7"/>
      <c r="X1" s="7"/>
      <c r="Y1" s="7"/>
      <c r="Z1" s="7"/>
      <c r="AA1" s="7"/>
      <c r="AB1" s="7"/>
      <c r="AG1"/>
      <c r="AH1"/>
      <c r="AI1"/>
      <c r="AJ1"/>
      <c r="AK1"/>
      <c r="AX1"/>
      <c r="AY1"/>
    </row>
    <row r="2" spans="1:204" ht="14" thickBot="1" x14ac:dyDescent="0.35">
      <c r="F2" s="7"/>
      <c r="G2" s="7"/>
      <c r="H2" s="7"/>
      <c r="I2" s="7"/>
      <c r="J2" s="7"/>
      <c r="K2" s="7"/>
      <c r="L2" s="7"/>
      <c r="M2" s="7"/>
      <c r="N2" s="7"/>
      <c r="O2" s="7"/>
      <c r="S2" s="7"/>
      <c r="T2" s="7"/>
      <c r="U2" s="7"/>
      <c r="V2" s="8"/>
      <c r="W2" s="7"/>
      <c r="X2" s="7"/>
      <c r="Y2" s="7"/>
      <c r="Z2" s="7"/>
      <c r="AA2" s="7"/>
      <c r="AB2" s="7"/>
      <c r="AG2"/>
      <c r="AH2"/>
      <c r="AI2"/>
      <c r="AJ2"/>
      <c r="AK2"/>
      <c r="AV2">
        <v>0</v>
      </c>
      <c r="AW2" s="3">
        <f>AV2</f>
        <v>0</v>
      </c>
      <c r="AX2"/>
      <c r="AY2"/>
    </row>
    <row r="3" spans="1:204" ht="20" x14ac:dyDescent="0.4">
      <c r="A3" s="43" t="s">
        <v>113</v>
      </c>
      <c r="B3" s="45"/>
      <c r="C3" s="46"/>
      <c r="D3" s="46"/>
      <c r="F3" s="7"/>
      <c r="G3" s="72" t="s">
        <v>158</v>
      </c>
      <c r="H3" s="73"/>
      <c r="I3" s="73"/>
      <c r="J3" s="74"/>
      <c r="K3" s="7"/>
      <c r="L3" s="7"/>
      <c r="M3" s="7"/>
      <c r="N3" s="7"/>
      <c r="O3" s="7"/>
      <c r="S3" s="7"/>
      <c r="T3" s="7"/>
      <c r="U3" s="7"/>
      <c r="V3" s="8"/>
      <c r="W3" s="7"/>
      <c r="X3" s="7"/>
      <c r="Y3" s="7"/>
      <c r="Z3" s="7"/>
      <c r="AA3" s="7"/>
      <c r="AB3" s="7"/>
      <c r="AG3"/>
      <c r="AH3"/>
      <c r="AI3"/>
      <c r="AJ3"/>
      <c r="AK3"/>
      <c r="AV3">
        <v>1</v>
      </c>
      <c r="AW3" s="3">
        <f>AV3</f>
        <v>1</v>
      </c>
      <c r="AX3"/>
      <c r="AY3"/>
    </row>
    <row r="4" spans="1:204" ht="20" x14ac:dyDescent="0.4">
      <c r="A4" s="139" t="s">
        <v>269</v>
      </c>
      <c r="B4" s="45"/>
      <c r="C4" s="46"/>
      <c r="D4" s="46"/>
      <c r="F4" s="7"/>
      <c r="G4" s="75" t="s">
        <v>261</v>
      </c>
      <c r="H4" s="70"/>
      <c r="I4" s="70"/>
      <c r="J4" s="76"/>
      <c r="K4" s="7"/>
      <c r="L4" s="7"/>
      <c r="M4" s="7"/>
      <c r="N4" s="7"/>
      <c r="O4" s="7"/>
      <c r="S4" s="7"/>
      <c r="T4" s="7"/>
      <c r="U4" s="7"/>
      <c r="V4" s="8"/>
      <c r="W4" s="7"/>
      <c r="X4" s="7"/>
      <c r="Y4" s="7"/>
      <c r="Z4" s="7"/>
      <c r="AA4" s="7"/>
      <c r="AB4" s="7"/>
      <c r="AG4"/>
      <c r="AH4"/>
      <c r="AI4"/>
      <c r="AJ4"/>
      <c r="AK4"/>
      <c r="AV4">
        <v>4</v>
      </c>
      <c r="AW4" s="3">
        <f>AV4</f>
        <v>4</v>
      </c>
      <c r="AX4"/>
      <c r="AY4"/>
      <c r="BT4" s="24" t="s">
        <v>55</v>
      </c>
      <c r="BU4" s="7"/>
      <c r="BV4" s="7"/>
      <c r="BW4" s="7"/>
      <c r="BX4" s="7"/>
      <c r="BY4" s="7"/>
      <c r="BZ4" s="7"/>
      <c r="CA4" s="7"/>
      <c r="CB4" s="7"/>
      <c r="CC4" s="7"/>
      <c r="DJ4" s="7" t="s">
        <v>55</v>
      </c>
      <c r="DK4" s="7"/>
      <c r="DL4" s="7"/>
      <c r="DM4" s="8"/>
      <c r="DN4" s="7"/>
      <c r="DO4" s="7"/>
      <c r="DP4" s="7"/>
      <c r="DQ4" s="7"/>
      <c r="DR4" s="7"/>
      <c r="DS4" s="7"/>
    </row>
    <row r="5" spans="1:204" ht="16" thickBot="1" x14ac:dyDescent="0.4">
      <c r="A5" s="139" t="s">
        <v>270</v>
      </c>
      <c r="B5" s="45"/>
      <c r="C5" s="46"/>
      <c r="D5" s="46"/>
      <c r="G5" s="77" t="s">
        <v>133</v>
      </c>
      <c r="H5" s="71"/>
      <c r="I5" s="71"/>
      <c r="J5" s="58"/>
      <c r="AG5"/>
      <c r="AH5"/>
      <c r="AI5"/>
      <c r="AJ5"/>
      <c r="AK5"/>
      <c r="AL5"/>
      <c r="AM5"/>
      <c r="AN5"/>
      <c r="AO5"/>
      <c r="AP5"/>
      <c r="AQ5"/>
      <c r="AR5"/>
      <c r="AS5"/>
      <c r="AV5">
        <v>7</v>
      </c>
      <c r="AW5" s="3">
        <f>AV5</f>
        <v>7</v>
      </c>
      <c r="AX5"/>
      <c r="AY5"/>
      <c r="BT5" s="7" t="s">
        <v>56</v>
      </c>
      <c r="BU5" s="7" t="s">
        <v>57</v>
      </c>
      <c r="BV5" s="7" t="s">
        <v>58</v>
      </c>
      <c r="BW5" s="7" t="s">
        <v>59</v>
      </c>
      <c r="BX5" s="7" t="s">
        <v>60</v>
      </c>
      <c r="BY5" s="7" t="s">
        <v>61</v>
      </c>
      <c r="BZ5" s="7" t="s">
        <v>62</v>
      </c>
      <c r="CA5" s="7" t="s">
        <v>41</v>
      </c>
      <c r="CB5" s="7" t="s">
        <v>42</v>
      </c>
      <c r="CC5" s="7" t="s">
        <v>43</v>
      </c>
      <c r="CD5" s="7" t="s">
        <v>44</v>
      </c>
      <c r="CE5" s="7" t="s">
        <v>54</v>
      </c>
      <c r="DJ5" s="7" t="s">
        <v>56</v>
      </c>
      <c r="DK5" s="7" t="s">
        <v>57</v>
      </c>
      <c r="DL5" s="7" t="s">
        <v>58</v>
      </c>
      <c r="DM5" s="7" t="s">
        <v>43</v>
      </c>
      <c r="DN5" s="8" t="s">
        <v>59</v>
      </c>
      <c r="DO5" s="7" t="s">
        <v>60</v>
      </c>
      <c r="DP5" s="7" t="s">
        <v>61</v>
      </c>
      <c r="DQ5" s="7" t="s">
        <v>62</v>
      </c>
      <c r="DR5" s="7" t="s">
        <v>41</v>
      </c>
      <c r="DS5" s="7" t="s">
        <v>42</v>
      </c>
      <c r="DT5" s="7" t="s">
        <v>54</v>
      </c>
    </row>
    <row r="6" spans="1:204" ht="16.5" thickTop="1" thickBot="1" x14ac:dyDescent="0.4">
      <c r="A6" s="139" t="s">
        <v>271</v>
      </c>
      <c r="B6" s="45"/>
      <c r="C6" s="46"/>
      <c r="D6" s="46"/>
      <c r="G6" s="79">
        <v>0</v>
      </c>
      <c r="H6" s="68"/>
      <c r="I6" s="68"/>
      <c r="J6" s="78"/>
      <c r="AG6"/>
      <c r="AH6"/>
      <c r="AI6"/>
      <c r="AJ6"/>
      <c r="AK6"/>
      <c r="AL6"/>
      <c r="AM6"/>
      <c r="AN6"/>
      <c r="AO6"/>
      <c r="AP6"/>
      <c r="AQ6"/>
      <c r="AR6"/>
      <c r="AS6"/>
      <c r="AV6">
        <v>12</v>
      </c>
      <c r="AW6" s="3">
        <f>AV6</f>
        <v>12</v>
      </c>
      <c r="BT6" s="7">
        <v>60.084299999999999</v>
      </c>
      <c r="BU6" s="7">
        <v>79.878799999999998</v>
      </c>
      <c r="BV6" s="7">
        <v>101.961</v>
      </c>
      <c r="BW6" s="7">
        <v>71.846400000000003</v>
      </c>
      <c r="BX6" s="7">
        <v>70.9375</v>
      </c>
      <c r="BY6" s="7">
        <v>40.304400000000001</v>
      </c>
      <c r="BZ6" s="7">
        <v>56.077399999999997</v>
      </c>
      <c r="CA6" s="7">
        <v>61.978900000000003</v>
      </c>
      <c r="CB6" s="7">
        <v>94.195999999999998</v>
      </c>
      <c r="CC6" s="3">
        <f>3*15.998+2*51.9961</f>
        <v>151.9862</v>
      </c>
      <c r="CD6" s="7">
        <f>2*30.97+5*15.9994</f>
        <v>141.93700000000001</v>
      </c>
      <c r="CE6" s="3">
        <f>15.998+2*1.00794</f>
        <v>18.01388</v>
      </c>
      <c r="DJ6" s="7">
        <v>60.084299999999999</v>
      </c>
      <c r="DK6" s="7">
        <v>79.878799999999998</v>
      </c>
      <c r="DL6" s="7">
        <v>101.961</v>
      </c>
      <c r="DM6" s="3">
        <f>3*15.998+2*51.9961</f>
        <v>151.9862</v>
      </c>
      <c r="DN6" s="8">
        <v>71.846400000000003</v>
      </c>
      <c r="DO6" s="7">
        <v>70.9375</v>
      </c>
      <c r="DP6" s="7">
        <v>40.304400000000001</v>
      </c>
      <c r="DQ6" s="7">
        <v>56.077399999999997</v>
      </c>
      <c r="DR6" s="7">
        <v>61.978900000000003</v>
      </c>
      <c r="DS6" s="7">
        <v>94.195999999999998</v>
      </c>
      <c r="DT6" s="3">
        <f>15.998+2*1.00794</f>
        <v>18.01388</v>
      </c>
    </row>
    <row r="7" spans="1:204" ht="18.5" thickTop="1" x14ac:dyDescent="0.4">
      <c r="A7" s="42" t="s">
        <v>114</v>
      </c>
      <c r="B7" s="47"/>
      <c r="C7" s="48"/>
      <c r="D7" s="48"/>
      <c r="AG7"/>
      <c r="AH7"/>
      <c r="AI7"/>
      <c r="AJ7"/>
      <c r="AK7"/>
      <c r="AL7"/>
      <c r="AM7"/>
      <c r="AN7"/>
      <c r="AO7"/>
      <c r="AP7"/>
      <c r="AQ7"/>
      <c r="AR7"/>
      <c r="AS7"/>
      <c r="BT7" s="7">
        <f>BT6</f>
        <v>60.084299999999999</v>
      </c>
      <c r="BU7" s="7">
        <f>BU6</f>
        <v>79.878799999999998</v>
      </c>
      <c r="BV7" s="7">
        <f>0.5*BV6</f>
        <v>50.980499999999999</v>
      </c>
      <c r="BW7" s="7">
        <f>BW6</f>
        <v>71.846400000000003</v>
      </c>
      <c r="BX7" s="7">
        <f>BX6</f>
        <v>70.9375</v>
      </c>
      <c r="BY7" s="7">
        <f>BY6</f>
        <v>40.304400000000001</v>
      </c>
      <c r="BZ7" s="7">
        <f>BZ6</f>
        <v>56.077399999999997</v>
      </c>
      <c r="CA7" s="7">
        <f>CA6/2</f>
        <v>30.989450000000001</v>
      </c>
      <c r="CB7" s="7">
        <f>CB6/2</f>
        <v>47.097999999999999</v>
      </c>
      <c r="CC7" s="7">
        <f>CC6/2</f>
        <v>75.993099999999998</v>
      </c>
      <c r="CD7" s="7">
        <f>CD6/2</f>
        <v>70.968500000000006</v>
      </c>
      <c r="CE7" s="7">
        <f>CE6/2</f>
        <v>9.0069400000000002</v>
      </c>
      <c r="DJ7" s="7">
        <f>DJ6</f>
        <v>60.084299999999999</v>
      </c>
      <c r="DK7" s="7">
        <f>DK6</f>
        <v>79.878799999999998</v>
      </c>
      <c r="DL7" s="7">
        <f>0.5*DL6</f>
        <v>50.980499999999999</v>
      </c>
      <c r="DM7" s="7">
        <f>DM6/2</f>
        <v>75.993099999999998</v>
      </c>
      <c r="DN7" s="8">
        <v>71.846400000000003</v>
      </c>
      <c r="DO7" s="7">
        <f>DO6</f>
        <v>70.9375</v>
      </c>
      <c r="DP7" s="7">
        <f>DP6</f>
        <v>40.304400000000001</v>
      </c>
      <c r="DQ7" s="7">
        <f>DQ6</f>
        <v>56.077399999999997</v>
      </c>
      <c r="DR7" s="7">
        <f>DR6/2</f>
        <v>30.989450000000001</v>
      </c>
      <c r="DS7" s="7">
        <f>DS6/2</f>
        <v>47.097999999999999</v>
      </c>
      <c r="DT7" s="7">
        <f>DT6/2</f>
        <v>9.0069400000000002</v>
      </c>
    </row>
    <row r="8" spans="1:204" ht="15.5" x14ac:dyDescent="0.35">
      <c r="A8" s="140" t="s">
        <v>159</v>
      </c>
      <c r="B8" s="47"/>
      <c r="C8" s="48"/>
      <c r="D8" s="48"/>
      <c r="AG8"/>
      <c r="AH8"/>
      <c r="AI8"/>
      <c r="AJ8"/>
      <c r="AK8"/>
      <c r="AL8"/>
      <c r="AM8"/>
      <c r="AN8"/>
      <c r="AO8"/>
      <c r="AP8"/>
      <c r="AQ8"/>
      <c r="AR8"/>
      <c r="AS8"/>
    </row>
    <row r="9" spans="1:204" ht="20" x14ac:dyDescent="0.4">
      <c r="A9" s="140" t="s">
        <v>264</v>
      </c>
      <c r="B9" s="62"/>
      <c r="C9" s="62"/>
      <c r="D9" s="62"/>
      <c r="F9" s="7"/>
      <c r="G9" s="7"/>
      <c r="H9" s="7"/>
      <c r="I9" s="7"/>
      <c r="J9" s="7"/>
      <c r="K9" s="7"/>
      <c r="L9" s="7"/>
      <c r="M9" s="7"/>
      <c r="N9" s="7"/>
      <c r="O9" s="7"/>
      <c r="S9" s="6"/>
      <c r="AG9"/>
      <c r="AH9"/>
      <c r="AI9"/>
      <c r="AJ9"/>
      <c r="AK9"/>
      <c r="AL9"/>
      <c r="AM9"/>
      <c r="AN9"/>
      <c r="AO9"/>
      <c r="AP9"/>
      <c r="AQ9"/>
      <c r="AR9"/>
      <c r="AS9"/>
    </row>
    <row r="10" spans="1:204" ht="20.5" thickBot="1" x14ac:dyDescent="0.45">
      <c r="A10" s="2"/>
      <c r="B10" s="2"/>
      <c r="C10" s="2"/>
      <c r="D10" s="2"/>
      <c r="F10" s="7"/>
      <c r="G10" s="7"/>
      <c r="H10" s="7"/>
      <c r="I10" s="7"/>
      <c r="J10" s="7"/>
      <c r="K10" s="7"/>
      <c r="L10" s="7"/>
      <c r="M10" s="7"/>
      <c r="N10" s="7"/>
      <c r="O10" s="7"/>
      <c r="S10" s="6"/>
      <c r="AG10"/>
      <c r="AH10"/>
      <c r="AI10"/>
      <c r="AJ10"/>
      <c r="AK10"/>
      <c r="AL10"/>
      <c r="AM10"/>
      <c r="AN10"/>
      <c r="AO10"/>
      <c r="AP10"/>
      <c r="AQ10"/>
      <c r="AR10"/>
      <c r="AS10"/>
    </row>
    <row r="11" spans="1:204" ht="25.5" thickBot="1" x14ac:dyDescent="0.55000000000000004">
      <c r="C11" s="63" t="s">
        <v>77</v>
      </c>
      <c r="D11" s="56"/>
      <c r="F11" s="7"/>
      <c r="G11" s="7"/>
      <c r="H11" s="7"/>
      <c r="I11" s="7"/>
      <c r="J11" s="7"/>
      <c r="K11" s="7"/>
      <c r="L11" s="7"/>
      <c r="M11" s="7"/>
      <c r="N11" s="7"/>
      <c r="O11" s="7"/>
      <c r="S11" s="6"/>
      <c r="AH11" s="51" t="s">
        <v>272</v>
      </c>
      <c r="AI11" s="14"/>
      <c r="AJ11" s="14"/>
      <c r="AK11" s="14"/>
      <c r="AL11" s="51" t="s">
        <v>273</v>
      </c>
      <c r="AP11" s="17"/>
      <c r="AQ11" s="17"/>
      <c r="AR11" s="17"/>
      <c r="AS11" s="17"/>
      <c r="AU11" s="17"/>
      <c r="AW11" s="17"/>
      <c r="AX11" s="17"/>
      <c r="AY11" s="17"/>
      <c r="AZ11" s="17"/>
      <c r="BA11" s="17"/>
      <c r="BI11" s="17"/>
      <c r="BJ11" s="17"/>
      <c r="BK11" s="11" t="s">
        <v>99</v>
      </c>
      <c r="EU11" s="5" t="s">
        <v>16</v>
      </c>
      <c r="FR11" s="137" t="s">
        <v>265</v>
      </c>
      <c r="FS11" s="68"/>
      <c r="FT11" s="68"/>
      <c r="FU11" s="68"/>
      <c r="FV11" s="68"/>
      <c r="FW11" s="68"/>
      <c r="FX11" s="68"/>
      <c r="FY11" s="68"/>
      <c r="FZ11" s="68"/>
      <c r="GA11" s="68"/>
      <c r="GB11" s="68"/>
      <c r="GC11" s="68"/>
      <c r="GD11" s="68"/>
      <c r="GE11" s="68"/>
      <c r="GF11" s="68"/>
      <c r="GG11" s="68"/>
      <c r="GH11" s="68"/>
      <c r="GI11" s="68"/>
      <c r="GJ11" s="138"/>
      <c r="GK11" s="68"/>
      <c r="GL11" s="68"/>
      <c r="GM11" s="68"/>
      <c r="GN11" s="68"/>
      <c r="GO11" s="68"/>
      <c r="GP11" s="68"/>
      <c r="GQ11" s="68"/>
      <c r="GR11" s="68"/>
      <c r="GS11" s="68"/>
      <c r="GT11" s="68"/>
      <c r="GU11" s="68"/>
      <c r="GV11" s="68"/>
    </row>
    <row r="12" spans="1:204" ht="20.5" thickBot="1" x14ac:dyDescent="0.45">
      <c r="C12" s="57" t="s">
        <v>125</v>
      </c>
      <c r="D12" s="58"/>
      <c r="F12" s="11" t="s">
        <v>25</v>
      </c>
      <c r="G12" s="13"/>
      <c r="H12" s="13"/>
      <c r="I12" s="13"/>
      <c r="J12" s="13"/>
      <c r="K12" s="13"/>
      <c r="L12" s="13"/>
      <c r="M12" s="13"/>
      <c r="N12" s="13"/>
      <c r="O12" s="13"/>
      <c r="P12" s="14"/>
      <c r="Q12" s="14"/>
      <c r="R12" s="15"/>
      <c r="S12" s="11" t="s">
        <v>25</v>
      </c>
      <c r="T12" s="14"/>
      <c r="U12" s="14"/>
      <c r="V12" s="16"/>
      <c r="W12" s="14"/>
      <c r="X12" s="14"/>
      <c r="Y12" s="14"/>
      <c r="Z12" s="14"/>
      <c r="AA12" s="14"/>
      <c r="AB12" s="14"/>
      <c r="AC12" s="15"/>
      <c r="AD12" s="6"/>
      <c r="AE12" s="6"/>
      <c r="AF12" s="33" t="s">
        <v>94</v>
      </c>
      <c r="AG12" s="33" t="s">
        <v>144</v>
      </c>
      <c r="AH12" s="29" t="s">
        <v>67</v>
      </c>
      <c r="AI12" s="30"/>
      <c r="AJ12" s="30"/>
      <c r="AK12" s="18"/>
      <c r="AL12" s="29" t="s">
        <v>65</v>
      </c>
      <c r="AM12" s="29"/>
      <c r="AN12" s="32"/>
      <c r="AO12" s="30"/>
      <c r="AP12" s="32"/>
      <c r="AQ12" s="32"/>
      <c r="AR12" s="32"/>
      <c r="AS12" s="32"/>
      <c r="AU12" s="2" t="s">
        <v>276</v>
      </c>
      <c r="AW12" s="2" t="s">
        <v>123</v>
      </c>
      <c r="AZ12" s="2" t="s">
        <v>148</v>
      </c>
      <c r="BB12" s="2" t="s">
        <v>79</v>
      </c>
      <c r="BC12" s="6"/>
      <c r="BG12" s="6" t="s">
        <v>1</v>
      </c>
      <c r="BH12" s="6"/>
      <c r="BI12" s="18"/>
      <c r="BJ12" s="85" t="s">
        <v>110</v>
      </c>
      <c r="BK12" s="6" t="s">
        <v>67</v>
      </c>
      <c r="BT12" s="11" t="s">
        <v>0</v>
      </c>
      <c r="BU12" s="14"/>
      <c r="BV12" s="14"/>
      <c r="BW12" s="14"/>
      <c r="BX12" s="14"/>
      <c r="BY12" s="14"/>
      <c r="BZ12" s="14"/>
      <c r="CA12" s="14"/>
      <c r="CB12" s="14"/>
      <c r="CC12" s="14"/>
      <c r="CD12" s="14"/>
      <c r="CE12" s="14"/>
      <c r="CF12" s="15"/>
      <c r="CG12" s="15"/>
      <c r="CH12" s="15"/>
      <c r="CI12" s="11" t="s">
        <v>0</v>
      </c>
      <c r="CJ12" s="14"/>
      <c r="CK12" s="14"/>
      <c r="CL12" s="14"/>
      <c r="CM12" s="14"/>
      <c r="CN12" s="14"/>
      <c r="CO12" s="14"/>
      <c r="CP12" s="14"/>
      <c r="CQ12" s="14"/>
      <c r="CR12" s="14"/>
      <c r="CS12" s="14"/>
      <c r="CT12" s="14"/>
      <c r="CU12" s="15"/>
      <c r="CV12" s="15"/>
      <c r="CW12" s="15"/>
      <c r="CX12" s="2" t="s">
        <v>71</v>
      </c>
      <c r="CY12" s="15"/>
      <c r="CZ12" s="15"/>
      <c r="DA12" s="15"/>
      <c r="DB12" s="15"/>
      <c r="DC12" s="15"/>
      <c r="DD12" s="15"/>
      <c r="DE12" s="15"/>
      <c r="DF12" s="15"/>
      <c r="DG12" s="15"/>
      <c r="DH12" s="15"/>
      <c r="DI12" s="15"/>
      <c r="FN12" t="s">
        <v>134</v>
      </c>
    </row>
    <row r="13" spans="1:204" ht="21" thickBot="1" x14ac:dyDescent="0.5">
      <c r="C13" s="59" t="s">
        <v>75</v>
      </c>
      <c r="D13" s="80" t="s">
        <v>75</v>
      </c>
      <c r="E13" s="19"/>
      <c r="F13" s="11" t="s">
        <v>46</v>
      </c>
      <c r="G13" s="13"/>
      <c r="H13" s="13"/>
      <c r="I13" s="13"/>
      <c r="J13" s="13"/>
      <c r="K13" s="13"/>
      <c r="L13" s="13"/>
      <c r="M13" s="13"/>
      <c r="N13" s="13"/>
      <c r="O13" s="13"/>
      <c r="P13" s="14"/>
      <c r="Q13" s="14"/>
      <c r="R13" s="15"/>
      <c r="S13" s="11" t="s">
        <v>34</v>
      </c>
      <c r="T13" s="14"/>
      <c r="U13" s="14"/>
      <c r="V13" s="16"/>
      <c r="W13" s="14"/>
      <c r="X13" s="14"/>
      <c r="Y13" s="14"/>
      <c r="Z13" s="14"/>
      <c r="AA13" s="14"/>
      <c r="AB13" s="14"/>
      <c r="AC13" s="15"/>
      <c r="AD13" s="6" t="s">
        <v>63</v>
      </c>
      <c r="AE13" s="6"/>
      <c r="AF13" s="18" t="s">
        <v>96</v>
      </c>
      <c r="AG13" s="18" t="s">
        <v>145</v>
      </c>
      <c r="AH13" s="34" t="s">
        <v>68</v>
      </c>
      <c r="AI13" s="34" t="s">
        <v>68</v>
      </c>
      <c r="AJ13" s="34" t="s">
        <v>68</v>
      </c>
      <c r="AK13" s="17"/>
      <c r="AL13" s="18" t="s">
        <v>91</v>
      </c>
      <c r="AM13" s="18" t="s">
        <v>92</v>
      </c>
      <c r="AN13" s="18"/>
      <c r="AO13" s="18" t="s">
        <v>69</v>
      </c>
      <c r="AP13" s="18" t="s">
        <v>70</v>
      </c>
      <c r="AQ13" s="18" t="s">
        <v>90</v>
      </c>
      <c r="AR13" s="18" t="s">
        <v>143</v>
      </c>
      <c r="AS13" s="18" t="s">
        <v>155</v>
      </c>
      <c r="AU13" s="31" t="s">
        <v>67</v>
      </c>
      <c r="AW13" s="31" t="s">
        <v>119</v>
      </c>
      <c r="AX13" s="31"/>
      <c r="AY13" s="69"/>
      <c r="AZ13" s="31" t="s">
        <v>150</v>
      </c>
      <c r="BA13"/>
      <c r="BB13" s="31" t="s">
        <v>67</v>
      </c>
      <c r="BC13" s="31"/>
      <c r="BD13" s="31"/>
      <c r="BE13" s="31"/>
      <c r="BF13" s="31"/>
      <c r="BG13" s="31" t="s">
        <v>67</v>
      </c>
      <c r="BH13" s="6"/>
      <c r="BI13" s="81" t="s">
        <v>98</v>
      </c>
      <c r="BJ13" s="84" t="s">
        <v>111</v>
      </c>
      <c r="BK13" s="52" t="s">
        <v>100</v>
      </c>
      <c r="BL13" s="52" t="s">
        <v>100</v>
      </c>
      <c r="BM13" s="52" t="s">
        <v>100</v>
      </c>
      <c r="BN13" s="52" t="s">
        <v>104</v>
      </c>
      <c r="BO13" s="52" t="s">
        <v>105</v>
      </c>
      <c r="BP13" s="52" t="s">
        <v>106</v>
      </c>
      <c r="BQ13" s="52" t="s">
        <v>109</v>
      </c>
      <c r="BR13" s="52" t="s">
        <v>108</v>
      </c>
      <c r="BS13" s="6"/>
      <c r="BT13" s="11" t="s">
        <v>36</v>
      </c>
      <c r="BU13" s="14"/>
      <c r="BV13" s="14"/>
      <c r="BW13" s="14"/>
      <c r="BX13" s="14"/>
      <c r="BY13" s="14"/>
      <c r="BZ13" s="14"/>
      <c r="CA13" s="14"/>
      <c r="CB13" s="14"/>
      <c r="CC13" s="14"/>
      <c r="CD13" s="14"/>
      <c r="CE13" s="14"/>
      <c r="CF13" s="15"/>
      <c r="CG13" s="54" t="s">
        <v>117</v>
      </c>
      <c r="CH13" s="54" t="s">
        <v>117</v>
      </c>
      <c r="CI13" s="11" t="s">
        <v>37</v>
      </c>
      <c r="CJ13" s="14"/>
      <c r="CK13" s="14"/>
      <c r="CL13" s="14"/>
      <c r="CM13" s="14"/>
      <c r="CN13" s="14"/>
      <c r="CO13" s="14"/>
      <c r="CP13" s="14"/>
      <c r="CQ13" s="14"/>
      <c r="CR13" s="14"/>
      <c r="CS13" s="14"/>
      <c r="CT13" s="14"/>
      <c r="CU13" s="15"/>
      <c r="CV13" s="15"/>
      <c r="CW13" s="15"/>
      <c r="CX13" s="2" t="s">
        <v>115</v>
      </c>
      <c r="CY13" s="15"/>
      <c r="CZ13" s="15"/>
      <c r="DA13" s="15"/>
      <c r="DB13" s="15"/>
      <c r="DC13" s="15"/>
      <c r="DD13" s="15"/>
      <c r="DE13" s="15"/>
      <c r="DF13" s="15"/>
      <c r="DG13" s="15"/>
      <c r="DH13" s="15"/>
      <c r="DI13" s="15"/>
      <c r="DJ13" s="2" t="s">
        <v>17</v>
      </c>
      <c r="DU13" s="2" t="s">
        <v>33</v>
      </c>
      <c r="EG13" s="2" t="s">
        <v>19</v>
      </c>
      <c r="EU13" s="2" t="s">
        <v>18</v>
      </c>
      <c r="FF13" t="s">
        <v>23</v>
      </c>
      <c r="FG13" s="1" t="s">
        <v>13</v>
      </c>
      <c r="FH13" s="1"/>
      <c r="FI13" t="s">
        <v>26</v>
      </c>
      <c r="FN13" s="65" t="s">
        <v>135</v>
      </c>
      <c r="FO13" s="3" t="s">
        <v>138</v>
      </c>
      <c r="FP13" s="27" t="s">
        <v>139</v>
      </c>
      <c r="FQ13" s="3" t="s">
        <v>139</v>
      </c>
      <c r="FR13" s="90" t="s">
        <v>66</v>
      </c>
      <c r="FS13" s="91"/>
      <c r="FT13" s="91"/>
      <c r="FU13" s="92"/>
      <c r="FV13" s="92" t="s">
        <v>48</v>
      </c>
      <c r="FW13" s="92"/>
      <c r="FX13" s="92"/>
      <c r="FY13" s="92"/>
      <c r="FZ13" s="92"/>
      <c r="GA13" s="92"/>
      <c r="GB13" s="92"/>
      <c r="GC13" s="92"/>
      <c r="GD13" s="92"/>
      <c r="GE13" s="92"/>
      <c r="GF13" s="92"/>
      <c r="GG13" s="92" t="s">
        <v>127</v>
      </c>
      <c r="GH13" s="92"/>
      <c r="GI13" s="92"/>
      <c r="GJ13" s="93"/>
      <c r="GK13" s="92" t="s">
        <v>128</v>
      </c>
      <c r="GL13" s="92"/>
      <c r="GM13" s="92"/>
      <c r="GN13" s="92"/>
      <c r="GP13" s="6" t="s">
        <v>140</v>
      </c>
      <c r="GR13" s="91" t="s">
        <v>146</v>
      </c>
      <c r="GS13" s="91"/>
      <c r="GT13" s="91"/>
      <c r="GU13" s="92"/>
      <c r="GV13" s="92"/>
    </row>
    <row r="14" spans="1:204" ht="21.5" thickBot="1" x14ac:dyDescent="0.55000000000000004">
      <c r="A14" s="21" t="s">
        <v>72</v>
      </c>
      <c r="C14" s="60" t="s">
        <v>31</v>
      </c>
      <c r="D14" s="61" t="s">
        <v>76</v>
      </c>
      <c r="E14" s="12"/>
      <c r="F14" s="39" t="s">
        <v>56</v>
      </c>
      <c r="G14" s="39" t="s">
        <v>57</v>
      </c>
      <c r="H14" s="39" t="s">
        <v>58</v>
      </c>
      <c r="I14" s="39" t="s">
        <v>47</v>
      </c>
      <c r="J14" s="39" t="s">
        <v>60</v>
      </c>
      <c r="K14" s="39" t="s">
        <v>61</v>
      </c>
      <c r="L14" s="39" t="s">
        <v>62</v>
      </c>
      <c r="M14" s="39" t="s">
        <v>41</v>
      </c>
      <c r="N14" s="39" t="s">
        <v>42</v>
      </c>
      <c r="O14" s="39" t="s">
        <v>43</v>
      </c>
      <c r="P14" s="39" t="s">
        <v>44</v>
      </c>
      <c r="Q14" s="49" t="s">
        <v>54</v>
      </c>
      <c r="R14" s="20"/>
      <c r="S14" s="39" t="s">
        <v>56</v>
      </c>
      <c r="T14" s="39" t="s">
        <v>57</v>
      </c>
      <c r="U14" s="39" t="s">
        <v>58</v>
      </c>
      <c r="V14" s="40" t="s">
        <v>47</v>
      </c>
      <c r="W14" s="39" t="s">
        <v>60</v>
      </c>
      <c r="X14" s="39" t="s">
        <v>61</v>
      </c>
      <c r="Y14" s="39" t="s">
        <v>62</v>
      </c>
      <c r="Z14" s="39" t="s">
        <v>41</v>
      </c>
      <c r="AA14" s="39" t="s">
        <v>42</v>
      </c>
      <c r="AB14" s="39" t="s">
        <v>43</v>
      </c>
      <c r="AC14" s="10"/>
      <c r="AD14" s="6" t="s">
        <v>64</v>
      </c>
      <c r="AE14" s="6"/>
      <c r="AF14" s="34" t="s">
        <v>95</v>
      </c>
      <c r="AG14" s="34" t="s">
        <v>153</v>
      </c>
      <c r="AH14" s="18" t="s">
        <v>74</v>
      </c>
      <c r="AI14" s="28" t="s">
        <v>73</v>
      </c>
      <c r="AJ14" s="28" t="s">
        <v>157</v>
      </c>
      <c r="AK14" s="28"/>
      <c r="AL14" s="28" t="s">
        <v>85</v>
      </c>
      <c r="AM14" s="28" t="s">
        <v>86</v>
      </c>
      <c r="AN14" s="18" t="s">
        <v>88</v>
      </c>
      <c r="AO14" s="18" t="s">
        <v>93</v>
      </c>
      <c r="AP14" s="28" t="s">
        <v>87</v>
      </c>
      <c r="AQ14" s="28" t="s">
        <v>89</v>
      </c>
      <c r="AR14" s="28" t="s">
        <v>142</v>
      </c>
      <c r="AS14" s="28" t="s">
        <v>154</v>
      </c>
      <c r="AU14" s="27" t="s">
        <v>120</v>
      </c>
      <c r="AW14" s="27" t="s">
        <v>120</v>
      </c>
      <c r="AX14" s="27" t="s">
        <v>121</v>
      </c>
      <c r="AY14" s="27"/>
      <c r="AZ14" s="27" t="s">
        <v>149</v>
      </c>
      <c r="BA14" s="28"/>
      <c r="BB14" s="27" t="s">
        <v>80</v>
      </c>
      <c r="BC14" s="27" t="s">
        <v>81</v>
      </c>
      <c r="BD14" s="27" t="s">
        <v>82</v>
      </c>
      <c r="BE14" s="27" t="s">
        <v>83</v>
      </c>
      <c r="BF14" s="27" t="s">
        <v>84</v>
      </c>
      <c r="BG14" s="27" t="s">
        <v>124</v>
      </c>
      <c r="BI14" s="82" t="s">
        <v>97</v>
      </c>
      <c r="BJ14" s="83" t="s">
        <v>112</v>
      </c>
      <c r="BK14" s="53" t="s">
        <v>101</v>
      </c>
      <c r="BL14" s="53" t="s">
        <v>102</v>
      </c>
      <c r="BM14" s="53" t="s">
        <v>103</v>
      </c>
      <c r="BN14" s="53">
        <v>1987</v>
      </c>
      <c r="BO14" s="53" t="s">
        <v>118</v>
      </c>
      <c r="BP14" s="53" t="s">
        <v>107</v>
      </c>
      <c r="BQ14" s="53">
        <v>1990</v>
      </c>
      <c r="BR14" s="53">
        <v>1992</v>
      </c>
      <c r="BS14" s="6"/>
      <c r="BT14" s="25" t="s">
        <v>38</v>
      </c>
      <c r="BU14" s="25" t="s">
        <v>39</v>
      </c>
      <c r="BV14" s="25" t="s">
        <v>49</v>
      </c>
      <c r="BW14" s="25" t="s">
        <v>40</v>
      </c>
      <c r="BX14" s="25" t="s">
        <v>47</v>
      </c>
      <c r="BY14" s="25" t="s">
        <v>2</v>
      </c>
      <c r="BZ14" s="25" t="s">
        <v>28</v>
      </c>
      <c r="CA14" s="25" t="s">
        <v>50</v>
      </c>
      <c r="CB14" s="25" t="s">
        <v>51</v>
      </c>
      <c r="CC14" s="25" t="s">
        <v>52</v>
      </c>
      <c r="CD14" s="25" t="s">
        <v>53</v>
      </c>
      <c r="CE14" s="25" t="s">
        <v>54</v>
      </c>
      <c r="CF14" s="10" t="s">
        <v>116</v>
      </c>
      <c r="CG14" s="55" t="s">
        <v>24</v>
      </c>
      <c r="CH14" s="55" t="s">
        <v>156</v>
      </c>
      <c r="CI14" s="25" t="s">
        <v>38</v>
      </c>
      <c r="CJ14" s="25" t="s">
        <v>39</v>
      </c>
      <c r="CK14" s="25" t="s">
        <v>49</v>
      </c>
      <c r="CL14" s="25" t="s">
        <v>40</v>
      </c>
      <c r="CM14" s="25" t="s">
        <v>47</v>
      </c>
      <c r="CN14" s="25" t="s">
        <v>2</v>
      </c>
      <c r="CO14" s="25" t="s">
        <v>28</v>
      </c>
      <c r="CP14" s="25" t="s">
        <v>50</v>
      </c>
      <c r="CQ14" s="25" t="s">
        <v>51</v>
      </c>
      <c r="CR14" s="25" t="s">
        <v>52</v>
      </c>
      <c r="CS14" s="25" t="s">
        <v>53</v>
      </c>
      <c r="CT14" s="25" t="s">
        <v>54</v>
      </c>
      <c r="CU14" s="10" t="s">
        <v>14</v>
      </c>
      <c r="CV14" s="10" t="s">
        <v>78</v>
      </c>
      <c r="CW14" s="10"/>
      <c r="CX14" s="10" t="s">
        <v>38</v>
      </c>
      <c r="CY14" s="10" t="s">
        <v>39</v>
      </c>
      <c r="CZ14" s="10" t="s">
        <v>49</v>
      </c>
      <c r="DA14" s="10" t="s">
        <v>40</v>
      </c>
      <c r="DB14" s="10" t="s">
        <v>47</v>
      </c>
      <c r="DC14" s="10" t="s">
        <v>2</v>
      </c>
      <c r="DD14" s="10" t="s">
        <v>28</v>
      </c>
      <c r="DE14" s="10" t="s">
        <v>50</v>
      </c>
      <c r="DF14" s="10" t="s">
        <v>51</v>
      </c>
      <c r="DG14" s="10" t="s">
        <v>52</v>
      </c>
      <c r="DH14" s="10" t="s">
        <v>53</v>
      </c>
      <c r="DI14" s="10"/>
      <c r="DJ14" s="1" t="s">
        <v>38</v>
      </c>
      <c r="DK14" s="1" t="s">
        <v>39</v>
      </c>
      <c r="DL14" s="1" t="s">
        <v>49</v>
      </c>
      <c r="DM14" s="1" t="s">
        <v>40</v>
      </c>
      <c r="DN14" s="1" t="s">
        <v>47</v>
      </c>
      <c r="DO14" s="1" t="s">
        <v>2</v>
      </c>
      <c r="DP14" s="1" t="s">
        <v>28</v>
      </c>
      <c r="DQ14" s="1" t="s">
        <v>50</v>
      </c>
      <c r="DR14" s="1" t="s">
        <v>51</v>
      </c>
      <c r="DS14" s="1" t="s">
        <v>52</v>
      </c>
      <c r="DT14" s="1" t="s">
        <v>35</v>
      </c>
      <c r="DU14" s="1" t="s">
        <v>38</v>
      </c>
      <c r="DV14" s="1" t="s">
        <v>39</v>
      </c>
      <c r="DW14" s="1" t="s">
        <v>49</v>
      </c>
      <c r="DX14" s="1" t="s">
        <v>40</v>
      </c>
      <c r="DY14" s="1" t="s">
        <v>45</v>
      </c>
      <c r="DZ14" s="1" t="s">
        <v>47</v>
      </c>
      <c r="EA14" s="1" t="s">
        <v>2</v>
      </c>
      <c r="EB14" s="1" t="s">
        <v>28</v>
      </c>
      <c r="EC14" s="1" t="s">
        <v>50</v>
      </c>
      <c r="ED14" s="1" t="s">
        <v>51</v>
      </c>
      <c r="EE14" s="1" t="s">
        <v>52</v>
      </c>
      <c r="EF14" s="1"/>
      <c r="EG14" s="1" t="s">
        <v>38</v>
      </c>
      <c r="EH14" s="1" t="s">
        <v>39</v>
      </c>
      <c r="EI14" s="1" t="s">
        <v>49</v>
      </c>
      <c r="EJ14" s="1" t="s">
        <v>40</v>
      </c>
      <c r="EK14" s="1" t="s">
        <v>45</v>
      </c>
      <c r="EL14" s="1" t="s">
        <v>47</v>
      </c>
      <c r="EM14" s="1" t="s">
        <v>2</v>
      </c>
      <c r="EN14" s="1" t="s">
        <v>28</v>
      </c>
      <c r="EO14" s="1" t="s">
        <v>50</v>
      </c>
      <c r="EP14" s="1" t="s">
        <v>51</v>
      </c>
      <c r="EQ14" s="1" t="s">
        <v>52</v>
      </c>
      <c r="ER14" s="1" t="s">
        <v>35</v>
      </c>
      <c r="ES14" s="1" t="s">
        <v>3</v>
      </c>
      <c r="EU14" s="1" t="s">
        <v>4</v>
      </c>
      <c r="EV14" s="1" t="s">
        <v>5</v>
      </c>
      <c r="EW14" s="1" t="s">
        <v>29</v>
      </c>
      <c r="EX14" s="1" t="s">
        <v>10</v>
      </c>
      <c r="EY14" s="1" t="s">
        <v>11</v>
      </c>
      <c r="EZ14" s="1" t="s">
        <v>12</v>
      </c>
      <c r="FA14" s="1" t="s">
        <v>30</v>
      </c>
      <c r="FB14" s="1" t="s">
        <v>6</v>
      </c>
      <c r="FC14" s="1" t="s">
        <v>7</v>
      </c>
      <c r="FD14" s="1" t="s">
        <v>8</v>
      </c>
      <c r="FE14" s="1" t="s">
        <v>9</v>
      </c>
      <c r="FF14" s="1" t="s">
        <v>24</v>
      </c>
      <c r="FG14" s="1" t="s">
        <v>14</v>
      </c>
      <c r="FH14" s="1" t="s">
        <v>15</v>
      </c>
      <c r="FI14" s="4" t="s">
        <v>27</v>
      </c>
      <c r="FJ14" s="3" t="s">
        <v>120</v>
      </c>
      <c r="FK14" s="3" t="s">
        <v>274</v>
      </c>
      <c r="FL14" s="3" t="s">
        <v>122</v>
      </c>
      <c r="FN14" s="66" t="s">
        <v>136</v>
      </c>
      <c r="FO14" s="3" t="s">
        <v>137</v>
      </c>
      <c r="FP14" s="27" t="s">
        <v>11</v>
      </c>
      <c r="FQ14" s="3" t="s">
        <v>12</v>
      </c>
      <c r="FR14" s="92" t="s">
        <v>4</v>
      </c>
      <c r="FS14" s="92" t="s">
        <v>21</v>
      </c>
      <c r="FT14" s="92" t="s">
        <v>5</v>
      </c>
      <c r="FU14" s="92" t="s">
        <v>131</v>
      </c>
      <c r="FV14" s="94" t="s">
        <v>22</v>
      </c>
      <c r="FW14" s="94" t="s">
        <v>10</v>
      </c>
      <c r="FX14" s="94" t="s">
        <v>11</v>
      </c>
      <c r="FY14" s="94" t="s">
        <v>5</v>
      </c>
      <c r="FZ14" s="94" t="s">
        <v>35</v>
      </c>
      <c r="GA14" s="94" t="s">
        <v>6</v>
      </c>
      <c r="GB14" s="94" t="s">
        <v>35</v>
      </c>
      <c r="GC14" s="94" t="s">
        <v>126</v>
      </c>
      <c r="GD14" s="94" t="s">
        <v>35</v>
      </c>
      <c r="GE14" s="94" t="s">
        <v>30</v>
      </c>
      <c r="GF14" s="92" t="s">
        <v>129</v>
      </c>
      <c r="GG14" s="94" t="s">
        <v>6</v>
      </c>
      <c r="GH14" s="94" t="s">
        <v>12</v>
      </c>
      <c r="GI14" s="94" t="s">
        <v>30</v>
      </c>
      <c r="GJ14" s="93" t="s">
        <v>132</v>
      </c>
      <c r="GK14" s="94" t="s">
        <v>20</v>
      </c>
      <c r="GL14" s="94" t="s">
        <v>7</v>
      </c>
      <c r="GM14" s="94" t="s">
        <v>8</v>
      </c>
      <c r="GN14" s="92" t="s">
        <v>130</v>
      </c>
      <c r="GP14" s="6" t="s">
        <v>141</v>
      </c>
      <c r="GR14" s="92" t="s">
        <v>8</v>
      </c>
      <c r="GS14" s="92" t="s">
        <v>9</v>
      </c>
      <c r="GT14" s="92" t="s">
        <v>147</v>
      </c>
      <c r="GU14" s="27" t="s">
        <v>151</v>
      </c>
      <c r="GV14" s="27" t="s">
        <v>152</v>
      </c>
    </row>
    <row r="15" spans="1:204" s="22" customFormat="1" ht="18" customHeight="1" x14ac:dyDescent="0.35">
      <c r="A15" s="97" t="s">
        <v>160</v>
      </c>
      <c r="B15" s="97" t="s">
        <v>161</v>
      </c>
      <c r="C15" s="36">
        <f t="shared" ref="C15:C36" si="0">AVERAGE(AL15:AS15)</f>
        <v>953.50442248980607</v>
      </c>
      <c r="D15" s="36">
        <f>AI15</f>
        <v>4.2514947293099432</v>
      </c>
      <c r="F15" s="95">
        <v>62.317402705027561</v>
      </c>
      <c r="G15" s="95">
        <v>0.59258295722127685</v>
      </c>
      <c r="H15" s="95">
        <v>17.015042322847503</v>
      </c>
      <c r="I15" s="95">
        <v>5.5789738038649705</v>
      </c>
      <c r="J15" s="95">
        <v>0.1473838340855729</v>
      </c>
      <c r="K15" s="95">
        <v>1.4937840200535397</v>
      </c>
      <c r="L15" s="95">
        <v>5.1990671716793324</v>
      </c>
      <c r="M15" s="95">
        <v>3.7995169157401407</v>
      </c>
      <c r="N15" s="95">
        <v>3.8401248563986585</v>
      </c>
      <c r="O15" s="95">
        <v>0</v>
      </c>
      <c r="P15" s="95">
        <v>0.32096743332332595</v>
      </c>
      <c r="Q15" s="95">
        <v>5</v>
      </c>
      <c r="S15" s="98">
        <v>40.57</v>
      </c>
      <c r="T15" s="98">
        <v>2.4500000000000002</v>
      </c>
      <c r="U15" s="98">
        <v>12.82</v>
      </c>
      <c r="V15" s="98">
        <v>13.11</v>
      </c>
      <c r="W15" s="98">
        <v>0.26</v>
      </c>
      <c r="X15" s="98">
        <v>13.02</v>
      </c>
      <c r="Y15" s="98">
        <v>11.63</v>
      </c>
      <c r="Z15" s="98">
        <v>2.2000000000000002</v>
      </c>
      <c r="AA15" s="98">
        <v>0.92</v>
      </c>
      <c r="AB15" s="98">
        <v>0</v>
      </c>
      <c r="AD15" s="35">
        <f t="shared" ref="AD15:AD36" si="1">0.7996+15.347*SQRT(AH15/10)-0.00233*AL15+0.06248*(N15+M15)</f>
        <v>11.133825511804245</v>
      </c>
      <c r="AE15" s="36"/>
      <c r="AF15" s="50">
        <f t="shared" ref="AF15:AF36" si="2">(DN15/DP15)/(CM15/CO15)</f>
        <v>0.26960329424789276</v>
      </c>
      <c r="AG15" s="35">
        <f t="shared" ref="AG15:AG36" si="3">751.95-0.4*AL15-278000/AL15-9.184*EW15</f>
        <v>57.936794676762176</v>
      </c>
      <c r="AH15" s="35">
        <f t="shared" ref="AH15:AH36" si="4">ROUND(10*(-3.093-4.274*LN(EW15/CK15)-4.216*LN(CK15)+63.3*CS15+1.264*CT15+2.457*EW15+1.86*FE15+0.4*LN(FD15/CQ15)),1)</f>
        <v>6.2</v>
      </c>
      <c r="AI15" s="35">
        <f t="shared" ref="AI15:AI36" si="5">-64.79-6.064*LN(EW15/CK15)+61.75*CI15+682*CS15-101.9*CP15+7.85*EW15-46.46*LN(CI15)-4.81*LN(CQ15+CR15)</f>
        <v>4.2514947293099432</v>
      </c>
      <c r="AJ15" s="35">
        <f t="shared" ref="AJ15:AJ36" si="6">-45.55+26.65*EW15+22.52*FE15+439*CD15/CH15-51.1*LN(BV15/CH15)-46.3*LN(EW15/(BV15/CH15))+5.231*LN(FD15/(CB15/CH15))</f>
        <v>6.6912002341322925</v>
      </c>
      <c r="AK15" s="36"/>
      <c r="AL15" s="37">
        <f t="shared" ref="AL15:AL29" si="7">1781-132.74*EU15+116.6*EV15-69.41*EZ15+101.62*FD15</f>
        <v>955.93956668022042</v>
      </c>
      <c r="AM15" s="37">
        <f t="shared" ref="AM15:AM36" si="8">1687-118.7*EU15+131.56*EV15-71.41*EZ15+86.13*FD15+22.44*AH15/10</f>
        <v>952.26273622280848</v>
      </c>
      <c r="AN15" s="37">
        <f t="shared" ref="AN15:AN29" si="9">2061-178.4*EU15</f>
        <v>974.85569769833182</v>
      </c>
      <c r="AO15" s="37">
        <f>(24429.2)/(2.31+42.1*CM15+32.2*CP15+2.21*LN(CI15)-1.4*LN(CJ15)-2.666*LN((CM15+CO15)*CK15))</f>
        <v>941.88671642746112</v>
      </c>
      <c r="AP15" s="37">
        <f t="shared" ref="AP15:AP36" si="10">6383.4/(-12.07+45.4*CK15+12.21*CM15-0.415*LN(CJ15)-3.555*LN(CK15)-0.832*LN(CQ15)-0.481*LN((CM15+CO15+CN15)*CK15)-0.679*LN(FD15/CQ15))</f>
        <v>955.64567091346532</v>
      </c>
      <c r="AQ15" s="37">
        <f t="shared" ref="AQ15:AQ36" si="11">8037.85/(3.69-2.62*CT15+0.66*EZ15-0.416*LN(CJ15)+0.37*LN(CO15)-1.05*LN((CM15+CO15+CN15)*CK15)-0.462*LN(EV15/CJ15))</f>
        <v>929.35578571507438</v>
      </c>
      <c r="AR15" s="37">
        <f t="shared" ref="AR15:AR36" si="12">1201.4-97.93*EU15+201.82*EV15+72.85*FB15+88.9*FD15+40.65*AH15/10</f>
        <v>955.29689484884318</v>
      </c>
      <c r="AS15" s="37">
        <f t="shared" ref="AS15:AS36" si="13">10073.5/(9.75+0.934*EU15-1.454*EV15-0.882*FB15-1.123*FD15-0.322*LN(CM15)-0.7593*LN(EW15/CK15)-0.15*AZ15)</f>
        <v>962.7923114122442</v>
      </c>
      <c r="AT15"/>
      <c r="AU15" s="35">
        <f>0.5+0.331*EW15+0.995*EW15^2</f>
        <v>6.3660196417197561</v>
      </c>
      <c r="AV15"/>
      <c r="AW15" s="37">
        <f t="shared" ref="AW15:AW29" si="14">(71975-11896*LN(FL15))/(8.3144*LN(FJ15)+58)</f>
        <v>910.24893980340914</v>
      </c>
      <c r="AX15" s="37">
        <f t="shared" ref="AX15:AX29" si="15">107*LN(DD15)-108*LN(FL15)+1184</f>
        <v>933.54562931456485</v>
      </c>
      <c r="AY15" s="38"/>
      <c r="AZ15" s="50">
        <f t="shared" ref="AZ15:AZ36" si="16">LN((GS15/GV15)*(CQ15/CR15))</f>
        <v>-0.88246991884735881</v>
      </c>
      <c r="BA15" s="38"/>
      <c r="BB15" s="35">
        <f t="shared" ref="BB15:BB29" si="17">10*(EXP(125.93-9.5876*EU15*13/FH15-10.116*EV15*13/FH15-8.1735*EW15*13/FH15-9.2261*EZ15*13/FH15-8.7934*FB15*13/FH15-1.6659*FC15+2.4835*FD15+2.5192*FE15))/1000</f>
        <v>5.9492045906465796</v>
      </c>
      <c r="BC15" s="35">
        <f t="shared" ref="BC15:BC29" si="18">10*(EXP(38.723-2.6957*EU15*13/FH15-2.3565*EV15*13/FH15-1.3006*EW15*13/FH15-2.778*EZ15*13/FH15-2.4838*FB15*13/FH15-0.6614*FC15-0.2705*FD15+0.1117*FE15))/1000</f>
        <v>4.2493418222422372</v>
      </c>
      <c r="BD15" s="35">
        <f t="shared" ref="BD15:BD29" si="19">10*(24023-1925.3*EU15*13/FH15-1720.6*EV15*13/FH15-1478.5*EW15*13/FH15-1843.2*EZ15*13/FH15-1746.9*FB15*13/FH15-158.28*FC15-40.444*FD15+253.52*FE15)/1000</f>
        <v>4.747204005286231</v>
      </c>
      <c r="BE15" s="35">
        <f t="shared" ref="BE15:BE29" si="20">10*(26106-1991.9*EU15*13/FH15-3035*EV15*13/FH15-1472.2*EW15*13/FH15-2454.8*EZ15*13/FH15-2125.8*FB15*13/FH15-830.64*FC15+2708.8*FD15+2204.1*FE15)/1000</f>
        <v>5.875666454605236</v>
      </c>
      <c r="BF15" s="35">
        <f t="shared" ref="BF15:BF29" si="21">10*EXP(26.543-1.2085*EU15*13/FH15-3.8593*EV15*13/FH15-1.1054*EW15*13/FH15-2.9068*EZ15*13/FH15-2.6483*FB15*13/FH15+0.5134*FC15+2.9752*FD15+1.8147*FE15)/1000</f>
        <v>8.0837245598608032</v>
      </c>
      <c r="BG15" s="35">
        <f t="shared" ref="BG15:BG29" si="22">10*(19.209*EXP(1.438*EW15*13/FF15))/1000</f>
        <v>3.1852930689078365</v>
      </c>
      <c r="BH15" s="36"/>
      <c r="BI15" s="50">
        <f>EZ15/(EZ15+FB15)</f>
        <v>0.36096431340864554</v>
      </c>
      <c r="BJ15" s="50" t="str">
        <f t="shared" ref="BJ15:BJ36" si="23">IF(AND(BI15&lt;0.65,OR(AP15&lt;800,AQ15&lt;800,AO15&lt;800,AM15&lt;800)),"YES","NO")</f>
        <v>NO</v>
      </c>
      <c r="BK15" s="35">
        <f t="shared" ref="BK15:BK29" si="24">(-3.92+5.03*EW15)</f>
        <v>7.4851393549356473</v>
      </c>
      <c r="BL15" s="35">
        <f t="shared" ref="BL15:BL29" si="25">1.27*(EW15^2.01)</f>
        <v>6.5830062769202611</v>
      </c>
      <c r="BM15" s="35">
        <f t="shared" ref="BM15:BM29" si="26">0.26*EXP(1.48*EW15)</f>
        <v>7.4537173560742653</v>
      </c>
      <c r="BN15" s="35">
        <f t="shared" ref="BN15:BN29" si="27">(-4.76+5.64*EW15)</f>
        <v>8.0282675868463311</v>
      </c>
      <c r="BO15" s="35">
        <f t="shared" ref="BO15:BO29" si="28">(-3.46+4.23*EW15)</f>
        <v>6.1312006901347482</v>
      </c>
      <c r="BP15" s="35">
        <f t="shared" ref="BP15:BP36" si="29">(4.76*EW15-3.01-((C15-675)/85)*(0.53*EW15+0.005294*(C15-675)))</f>
        <v>-0.98548762544805868</v>
      </c>
      <c r="BQ15" s="35">
        <f t="shared" ref="BQ15:BQ29" si="30">(5.03*EW15-3.53)</f>
        <v>7.8751393549356479</v>
      </c>
      <c r="BR15" s="35">
        <f t="shared" ref="BR15:BR29" si="31">(-3.01+4.76*EW15)</f>
        <v>7.7829350555653427</v>
      </c>
      <c r="BS15" s="23"/>
      <c r="BT15" s="23">
        <f t="shared" ref="BT15:BT36" si="32">F15/BT$6</f>
        <v>1.0371661599623789</v>
      </c>
      <c r="BU15" s="23">
        <f t="shared" ref="BU15:BU36" si="33">G15/BU$6</f>
        <v>7.418526032204751E-3</v>
      </c>
      <c r="BV15" s="23">
        <f t="shared" ref="BV15:BV36" si="34">H15/BV$6</f>
        <v>0.16687794669380943</v>
      </c>
      <c r="BW15" s="23">
        <f t="shared" ref="BW15:BW36" si="35">O15/CC$6</f>
        <v>0</v>
      </c>
      <c r="BX15" s="23">
        <f t="shared" ref="BX15:BX36" si="36">I15/BW$6</f>
        <v>7.7651403603590019E-2</v>
      </c>
      <c r="BY15" s="23">
        <f t="shared" ref="BY15:BY36" si="37">J15/BX$6</f>
        <v>2.0776575730124813E-3</v>
      </c>
      <c r="BZ15" s="23">
        <f t="shared" ref="BZ15:BZ36" si="38">K15/BY$6</f>
        <v>3.7062554461883557E-2</v>
      </c>
      <c r="CA15" s="23">
        <f t="shared" ref="CA15:CA36" si="39">L15/BZ$6</f>
        <v>9.2712343505214803E-2</v>
      </c>
      <c r="CB15" s="23">
        <f t="shared" ref="CB15:CB36" si="40">M15/CA$6</f>
        <v>6.1303393828224452E-2</v>
      </c>
      <c r="CC15" s="23">
        <f t="shared" ref="CC15:CC36" si="41">N15/CB$6</f>
        <v>4.0767387748934757E-2</v>
      </c>
      <c r="CD15" s="23">
        <f t="shared" ref="CD15:CD36" si="42">P15/CD$6</f>
        <v>2.2613373068567457E-3</v>
      </c>
      <c r="CE15" s="23">
        <f t="shared" ref="CE15:CE36" si="43">Q15/CE$6</f>
        <v>0.27756374528974326</v>
      </c>
      <c r="CF15" s="22">
        <f t="shared" ref="CF15:CF29" si="44">SUM(BT15:CE15)</f>
        <v>1.8028624560058533</v>
      </c>
      <c r="CG15" s="22">
        <f>BT15+BU15+BX15+BY15+BZ15+CA15+2*(BV15+BW15+CB15+CC15+CD15)</f>
        <v>1.7965087762939353</v>
      </c>
      <c r="CH15" s="22">
        <f>SUM(BT15:CD15)</f>
        <v>1.52529871071611</v>
      </c>
      <c r="CI15" s="23">
        <f t="shared" ref="CI15:CI29" si="45">BT15/$CF15</f>
        <v>0.57528856763713743</v>
      </c>
      <c r="CJ15" s="23">
        <f t="shared" ref="CJ15:CJ29" si="46">BU15/$CF15</f>
        <v>4.1148596818861623E-3</v>
      </c>
      <c r="CK15" s="23">
        <f t="shared" ref="CK15:CK29" si="47">BV15/$CF15</f>
        <v>9.2562772128229193E-2</v>
      </c>
      <c r="CL15" s="23">
        <f t="shared" ref="CL15:CL29" si="48">BW15/$CF15</f>
        <v>0</v>
      </c>
      <c r="CM15" s="23">
        <f t="shared" ref="CM15:CM29" si="49">BX15/$CF15</f>
        <v>4.3071174589559433E-2</v>
      </c>
      <c r="CN15" s="23">
        <f t="shared" ref="CN15:CN29" si="50">BY15/$CF15</f>
        <v>1.1524215649902779E-3</v>
      </c>
      <c r="CO15" s="23">
        <f t="shared" ref="CO15:CO29" si="51">BZ15/$CF15</f>
        <v>2.0557616216599069E-2</v>
      </c>
      <c r="CP15" s="23">
        <f t="shared" ref="CP15:CP29" si="52">CA15/$CF15</f>
        <v>5.1425078600069202E-2</v>
      </c>
      <c r="CQ15" s="23">
        <f t="shared" ref="CQ15:CQ29" si="53">CB15/$CF15</f>
        <v>3.4003367047777393E-2</v>
      </c>
      <c r="CR15" s="23">
        <f t="shared" ref="CR15:CR29" si="54">CC15/$CF15</f>
        <v>2.2612589004295289E-2</v>
      </c>
      <c r="CS15" s="23">
        <f t="shared" ref="CS15:CS29" si="55">CD15/$CF15</f>
        <v>1.2543038429379794E-3</v>
      </c>
      <c r="CT15" s="23">
        <f t="shared" ref="CT15:CT29" si="56">CE15/$CF15</f>
        <v>0.15395724968651858</v>
      </c>
      <c r="CU15" s="22">
        <f t="shared" ref="CU15:CU29" si="57">SUM(CI15:CT15)</f>
        <v>1</v>
      </c>
      <c r="CV15" s="22">
        <f t="shared" ref="CV15:CV36" si="58">SUM(CI15:CS15)</f>
        <v>0.84604275031348142</v>
      </c>
      <c r="CW15" s="22">
        <f>BV15/CH15</f>
        <v>0.10940673162666097</v>
      </c>
      <c r="CX15">
        <f t="shared" ref="CX15:CX36" si="59">BT15/$CG15</f>
        <v>0.57732318018616968</v>
      </c>
      <c r="CY15">
        <f t="shared" ref="CY15:CY36" si="60">BU15/$CG15</f>
        <v>4.1294126308186602E-3</v>
      </c>
      <c r="CZ15">
        <f t="shared" ref="CZ15:CZ36" si="61">BV15*2/$CG15</f>
        <v>0.1857802743809204</v>
      </c>
      <c r="DA15">
        <f t="shared" ref="DA15:DA36" si="62">BW15*2/$CG15</f>
        <v>0</v>
      </c>
      <c r="DB15">
        <f t="shared" ref="DB15:DB36" si="63">BX15/$CG15</f>
        <v>4.3223503624501697E-2</v>
      </c>
      <c r="DC15">
        <f t="shared" ref="DC15:DC36" si="64">BY15/$CG15</f>
        <v>1.1564973132491649E-3</v>
      </c>
      <c r="DD15">
        <f t="shared" ref="DD15:DD36" si="65">BZ15/$CG15</f>
        <v>2.0630321961655464E-2</v>
      </c>
      <c r="DE15">
        <f t="shared" ref="DE15:DE36" si="66">CA15/$CG15</f>
        <v>5.160695273444392E-2</v>
      </c>
      <c r="DF15">
        <f t="shared" ref="DF15:DF36" si="67">CB15*2/$CG15</f>
        <v>6.824725226746603E-2</v>
      </c>
      <c r="DG15">
        <f t="shared" ref="DG15:DG36" si="68">CC15*2/$CG15</f>
        <v>4.5385125068005357E-2</v>
      </c>
      <c r="DH15">
        <f t="shared" ref="DH15:DH36" si="69">CD15*2/$CG15</f>
        <v>2.5174798327695534E-3</v>
      </c>
      <c r="DI15" s="22">
        <f t="shared" ref="DI15:DI29" si="70">SUM(CX15:DH15)</f>
        <v>1</v>
      </c>
      <c r="DJ15" s="22">
        <f t="shared" ref="DJ15:DJ36" si="71">S15/DJ$6</f>
        <v>0.6752179853971837</v>
      </c>
      <c r="DK15" s="22">
        <f t="shared" ref="DK15:DK36" si="72">T15/DK$6</f>
        <v>3.0671467272918473E-2</v>
      </c>
      <c r="DL15" s="22">
        <f t="shared" ref="DL15:DL36" si="73">U15/DL$6</f>
        <v>0.12573434940810702</v>
      </c>
      <c r="DM15" s="22">
        <f t="shared" ref="DM15:DM36" si="74">AB15/DM$6</f>
        <v>0</v>
      </c>
      <c r="DN15" s="22">
        <f t="shared" ref="DN15:DN36" si="75">V15/DN$6</f>
        <v>0.18247260823089256</v>
      </c>
      <c r="DO15" s="22">
        <f t="shared" ref="DO15:DO36" si="76">W15/DO$6</f>
        <v>3.6651982378854628E-3</v>
      </c>
      <c r="DP15" s="22">
        <f t="shared" ref="DP15:DP36" si="77">X15/DP$6</f>
        <v>0.32304165302051385</v>
      </c>
      <c r="DQ15" s="22">
        <f t="shared" ref="DQ15:DQ36" si="78">Y15/DQ$6</f>
        <v>0.20739192615920141</v>
      </c>
      <c r="DR15" s="22">
        <f t="shared" ref="DR15:DR36" si="79">Z15/DR$6</f>
        <v>3.5495951041402803E-2</v>
      </c>
      <c r="DS15" s="22">
        <f t="shared" ref="DS15:DS36" si="80">AA15/DS$6</f>
        <v>9.7668690814896597E-3</v>
      </c>
      <c r="DT15" s="22">
        <f t="shared" ref="DT15:DT29" si="81">SUM(DJ15:DS15)</f>
        <v>1.5934580078495948</v>
      </c>
      <c r="DU15" s="22">
        <f t="shared" ref="DU15:DU36" si="82">S15/DJ$7</f>
        <v>0.6752179853971837</v>
      </c>
      <c r="DV15" s="22">
        <f t="shared" ref="DV15:DV36" si="83">T15/DK$7</f>
        <v>3.0671467272918473E-2</v>
      </c>
      <c r="DW15" s="22">
        <f t="shared" ref="DW15:DW36" si="84">U15/DL$7</f>
        <v>0.25146869881621403</v>
      </c>
      <c r="DX15" s="22">
        <f t="shared" ref="DX15:DX36" si="85">AB15/DM$7</f>
        <v>0</v>
      </c>
      <c r="DZ15" s="22">
        <f t="shared" ref="DZ15:DZ36" si="86">V15/DN$7</f>
        <v>0.18247260823089256</v>
      </c>
      <c r="EA15" s="22">
        <f t="shared" ref="EA15:EA36" si="87">W15/DO$7</f>
        <v>3.6651982378854628E-3</v>
      </c>
      <c r="EB15" s="22">
        <f t="shared" ref="EB15:EB36" si="88">X15/DP$7</f>
        <v>0.32304165302051385</v>
      </c>
      <c r="EC15" s="22">
        <f t="shared" ref="EC15:EC36" si="89">Y15/DQ$7</f>
        <v>0.20739192615920141</v>
      </c>
      <c r="ED15" s="22">
        <f t="shared" ref="ED15:ED36" si="90">Z15/DR$7</f>
        <v>7.0991902082805605E-2</v>
      </c>
      <c r="EE15" s="22">
        <f t="shared" ref="EE15:EE36" si="91">AA15/DS$7</f>
        <v>1.9533738162979319E-2</v>
      </c>
      <c r="EG15" s="22">
        <f t="shared" ref="EG15:EG29" si="92">DJ15*2</f>
        <v>1.3504359707943674</v>
      </c>
      <c r="EH15" s="22">
        <f t="shared" ref="EH15:EH29" si="93">DK15*2</f>
        <v>6.1342934545836947E-2</v>
      </c>
      <c r="EI15" s="22">
        <f t="shared" ref="EI15:EI29" si="94">DL15*3</f>
        <v>0.37720304822432105</v>
      </c>
      <c r="EJ15" s="22">
        <f t="shared" ref="EJ15:EJ29" si="95">DM15*3</f>
        <v>0</v>
      </c>
      <c r="EL15" s="22">
        <f t="shared" ref="EL15:EL29" si="96">DN15</f>
        <v>0.18247260823089256</v>
      </c>
      <c r="EM15" s="22">
        <f t="shared" ref="EM15:EM29" si="97">DO15</f>
        <v>3.6651982378854628E-3</v>
      </c>
      <c r="EN15" s="22">
        <f t="shared" ref="EN15:EN29" si="98">DP15</f>
        <v>0.32304165302051385</v>
      </c>
      <c r="EO15" s="22">
        <f t="shared" ref="EO15:EO29" si="99">DQ15</f>
        <v>0.20739192615920141</v>
      </c>
      <c r="EP15" s="22">
        <f t="shared" ref="EP15:EP29" si="100">DR15</f>
        <v>3.5495951041402803E-2</v>
      </c>
      <c r="EQ15" s="22">
        <f t="shared" ref="EQ15:EQ29" si="101">DS15</f>
        <v>9.7668690814896597E-3</v>
      </c>
      <c r="ER15" s="22">
        <f t="shared" ref="ER15:ER29" si="102">SUM(EG15:EQ15)</f>
        <v>2.5508161593359113</v>
      </c>
      <c r="ES15" s="22">
        <f t="shared" ref="ES15:ES29" si="103">23/ER15</f>
        <v>9.0167219287131619</v>
      </c>
      <c r="EU15" s="86">
        <f t="shared" ref="EU15:EU29" si="104">DU15*$ES15</f>
        <v>6.0882528155923099</v>
      </c>
      <c r="EV15" s="86">
        <f t="shared" ref="EV15:EV29" si="105">DV15*$ES15</f>
        <v>0.27655609154553207</v>
      </c>
      <c r="EW15" s="86">
        <f t="shared" ref="EW15:EW29" si="106">DW15*$ES15</f>
        <v>2.2674233310011225</v>
      </c>
      <c r="EX15" s="86">
        <f t="shared" ref="EX15:EX29" si="107">DX15*$ES15</f>
        <v>0</v>
      </c>
      <c r="EY15" s="86"/>
      <c r="EZ15" s="86">
        <f t="shared" ref="EZ15:EZ29" si="108">DZ15*$ES15</f>
        <v>1.6453047680249748</v>
      </c>
      <c r="FA15" s="86">
        <f t="shared" ref="FA15:FA29" si="109">EA15*$ES15</f>
        <v>3.3048073324622694E-2</v>
      </c>
      <c r="FB15" s="86">
        <f t="shared" ref="FB15:FB29" si="110">EB15*$ES15</f>
        <v>2.9127767566778155</v>
      </c>
      <c r="FC15" s="86">
        <f t="shared" ref="FC15:FC29" si="111">EC15*$ES15</f>
        <v>1.8699953284377322</v>
      </c>
      <c r="FD15" s="86">
        <f t="shared" ref="FD15:FD29" si="112">ED15*$ES15</f>
        <v>0.64011424027109087</v>
      </c>
      <c r="FE15" s="86">
        <f t="shared" ref="FE15:FE29" si="113">EE15*$ES15</f>
        <v>0.17613028524387678</v>
      </c>
      <c r="FF15" s="22">
        <f t="shared" ref="FF15:FF29" si="114">SUM(EU15:FC15)</f>
        <v>15.093357164604107</v>
      </c>
      <c r="FG15" s="22">
        <f t="shared" ref="FG15:FG29" si="115">SUM(EU15:FE15)</f>
        <v>15.909601690119075</v>
      </c>
      <c r="FH15" s="22">
        <f t="shared" ref="FH15:FH29" si="116">SUM(EU15:FB15)</f>
        <v>13.223361836166376</v>
      </c>
      <c r="FI15" s="22" t="str">
        <f t="shared" ref="FI15:FI29" si="117">IF(OR(FG15&gt;16,FG15&lt;15),"BAD","Good")</f>
        <v>Good</v>
      </c>
      <c r="FJ15" s="22">
        <f t="shared" ref="FJ15:FJ29" si="118">(FB15*13/(EU15+EV15+EW15+EZ15+FA15+FB15))/(DD15)</f>
        <v>138.80421843333409</v>
      </c>
      <c r="FK15" s="22">
        <f>FB15/(FB15+EZ15)</f>
        <v>0.63903568659135457</v>
      </c>
      <c r="FL15" s="22">
        <f t="shared" ref="FL15:FL29" si="119">DE15/(DE15+CZ15)</f>
        <v>0.21739565924229032</v>
      </c>
      <c r="FM15" s="87"/>
      <c r="FN15" s="87">
        <f t="shared" ref="FN15:FN36" si="120">5.5976-24505/(AM15+273.15)+0.8099*LOG(AM15+273.15)+0.0937*(AH15*1000-1)/(273.15+AM15)+$G$6</f>
        <v>-11.424543528379989</v>
      </c>
      <c r="FO15" s="22">
        <f t="shared" ref="FO15:FO36" si="121">EXP(-6.53+10813.8/(AM15+273.15)+0.19*FN15*2.3026+12.4*(CB15+CC15)/CG15-3.44*BV15/(BV15+BT15)+4.15*CA15/CG15)</f>
        <v>0.10417972558482647</v>
      </c>
      <c r="FP15" s="88">
        <f t="shared" ref="FP15:FP29" si="122">(EZ15)*FO15/(1+2*FO15)</f>
        <v>0.14185133328525021</v>
      </c>
      <c r="FQ15" s="88">
        <f t="shared" ref="FQ15:FQ29" si="123">(EZ15)-FP15</f>
        <v>1.5034534347397246</v>
      </c>
      <c r="FR15" s="87">
        <f t="shared" ref="FR15:FR29" si="124">EU15</f>
        <v>6.0882528155923099</v>
      </c>
      <c r="FS15" s="87">
        <f t="shared" ref="FS15:FS29" si="125">IF(EU15+EW15&gt;8,8-EU15,EW15)</f>
        <v>1.9117471844076901</v>
      </c>
      <c r="FT15" s="87">
        <f t="shared" ref="FT15:FT29" si="126">IF(FS15+FR15=8,0,IF(8&lt;FS15+FR15+EV15,EV15,8-FR15-FS15))</f>
        <v>0</v>
      </c>
      <c r="FU15" s="86">
        <f t="shared" ref="FU15:FU29" si="127">FS15+FR15+FT15</f>
        <v>8</v>
      </c>
      <c r="FV15" s="87">
        <f t="shared" ref="FV15:FV29" si="128">IF(EW15-FS15&lt;0,0,EW15-FS15)</f>
        <v>0.35567614659343239</v>
      </c>
      <c r="FW15" s="87">
        <f t="shared" ref="FW15:FW29" si="129">EX15</f>
        <v>0</v>
      </c>
      <c r="FX15" s="87">
        <f t="shared" ref="FX15:FX29" si="130">FP15</f>
        <v>0.14185133328525021</v>
      </c>
      <c r="FY15" s="87">
        <f t="shared" ref="FY15:FY29" si="131">EV15-FT15</f>
        <v>0.27655609154553207</v>
      </c>
      <c r="FZ15" s="87">
        <f t="shared" ref="FZ15:FZ29" si="132">SUM(FV15:FY15)</f>
        <v>0.77408357142421469</v>
      </c>
      <c r="GA15" s="87">
        <f t="shared" ref="GA15:GA29" si="133">IF(FZ15&gt;5,0,IF(FZ15+FB15&lt;5,FB15,5-FZ15))</f>
        <v>2.9127767566778155</v>
      </c>
      <c r="GB15" s="87">
        <f t="shared" ref="GB15:GB29" si="134">GA15+FZ15</f>
        <v>3.6868603281020302</v>
      </c>
      <c r="GC15" s="87">
        <f t="shared" ref="GC15:GC29" si="135">IF(GB15&gt;5,0,IF(GB15+FQ15&lt;5,FQ15,5-GB15))</f>
        <v>1.3131396718979698</v>
      </c>
      <c r="GD15" s="87">
        <f t="shared" ref="GD15:GD29" si="136">GC15+GB15</f>
        <v>5</v>
      </c>
      <c r="GE15" s="87">
        <f t="shared" ref="GE15:GE29" si="137">IF(GD15=5,0,IF(GD15+FA15&lt;5,FA15,5-GD15))</f>
        <v>0</v>
      </c>
      <c r="GF15" s="87">
        <f t="shared" ref="GF15:GF29" si="138">GE15+GD15</f>
        <v>5</v>
      </c>
      <c r="GG15" s="86">
        <f t="shared" ref="GG15:GG29" si="139">FB15-GA15</f>
        <v>0</v>
      </c>
      <c r="GH15" s="86">
        <f t="shared" ref="GH15:GH29" si="140">FQ15-GC15</f>
        <v>0.19031376284175483</v>
      </c>
      <c r="GI15" s="86">
        <f t="shared" ref="GI15:GI29" si="141">FA15-GE15</f>
        <v>3.3048073324622694E-2</v>
      </c>
      <c r="GJ15" s="89">
        <f t="shared" ref="GJ15:GJ29" si="142">SUM(GG15:GI15)</f>
        <v>0.22336183616637753</v>
      </c>
      <c r="GK15" s="89">
        <f t="shared" ref="GK15:GK29" si="143">GJ15</f>
        <v>0.22336183616637753</v>
      </c>
      <c r="GL15" s="87">
        <f t="shared" ref="GL15:GL29" si="144">IF(FC15&gt;2-GK15,2-GK15,FC15)</f>
        <v>1.7766381638336224</v>
      </c>
      <c r="GM15" s="87">
        <f t="shared" ref="GM15:GM29" si="145">IF(GL15+GK15+FD15&lt;2,FD15,2-GK15-GL15)</f>
        <v>0</v>
      </c>
      <c r="GN15" s="89">
        <f t="shared" ref="GN15:GN29" si="146">GL15+GK15+GM15</f>
        <v>2</v>
      </c>
      <c r="GO15" s="87"/>
      <c r="GP15" s="86" t="str">
        <f>IF(GL15&lt;1,"Mg-Fe-Li grpup",IF(AND(GL15+GM15&gt;=1,GM15&lt;0.5),"CALCIC",IF(AND(GL15+GM15&gt;=1,GM15&gt;0.5),"SODIC-CALCIC")))</f>
        <v>CALCIC</v>
      </c>
      <c r="GQ15" s="87"/>
      <c r="GR15" s="87">
        <f t="shared" ref="GR15:GR29" si="147">IF(FD15-GM15&gt;0,FD15-GM15,0)</f>
        <v>0.64011424027109087</v>
      </c>
      <c r="GS15" s="87">
        <f t="shared" ref="GS15:GS29" si="148">FE15</f>
        <v>0.17613028524387678</v>
      </c>
      <c r="GT15" s="87">
        <f t="shared" ref="GT15:GT29" si="149">GS15+GR15</f>
        <v>0.81624452551496762</v>
      </c>
      <c r="GU15" s="86">
        <f t="shared" ref="GU15:GU29" si="150">IF(2-FC15-EZ15&lt;=0.1,0,2-FC15-EZ15)</f>
        <v>0</v>
      </c>
      <c r="GV15" s="86">
        <f t="shared" ref="GV15:GV29" si="151">FD15-GU15</f>
        <v>0.64011424027109087</v>
      </c>
    </row>
    <row r="16" spans="1:204" s="22" customFormat="1" ht="18" customHeight="1" x14ac:dyDescent="0.35">
      <c r="A16" s="97" t="s">
        <v>162</v>
      </c>
      <c r="B16" s="97" t="s">
        <v>161</v>
      </c>
      <c r="C16" s="36">
        <f t="shared" si="0"/>
        <v>919.28174533884146</v>
      </c>
      <c r="D16" s="36">
        <f t="shared" ref="D16:D29" si="152">AI16</f>
        <v>3.3062284214075017</v>
      </c>
      <c r="F16" s="95">
        <v>63.410655085328358</v>
      </c>
      <c r="G16" s="95">
        <v>0.56762678048216109</v>
      </c>
      <c r="H16" s="95">
        <v>16.682222523007152</v>
      </c>
      <c r="I16" s="95">
        <v>5.2116479171522521</v>
      </c>
      <c r="J16" s="95">
        <v>0.13947330873217689</v>
      </c>
      <c r="K16" s="95">
        <v>1.3430741921440521</v>
      </c>
      <c r="L16" s="95">
        <v>4.6802907711626132</v>
      </c>
      <c r="M16" s="95">
        <v>3.7972257273731147</v>
      </c>
      <c r="N16" s="95">
        <v>4.1183363541895686</v>
      </c>
      <c r="O16" s="95">
        <v>0</v>
      </c>
      <c r="P16" s="95">
        <v>0.32085386148616735</v>
      </c>
      <c r="Q16" s="95">
        <f>Q15</f>
        <v>5</v>
      </c>
      <c r="S16" s="98">
        <v>39.450000000000003</v>
      </c>
      <c r="T16" s="98">
        <v>1.88</v>
      </c>
      <c r="U16" s="98">
        <v>10.8</v>
      </c>
      <c r="V16" s="98">
        <v>11.85</v>
      </c>
      <c r="W16" s="98">
        <v>0</v>
      </c>
      <c r="X16" s="98">
        <v>11.32</v>
      </c>
      <c r="Y16" s="98">
        <v>10.94</v>
      </c>
      <c r="Z16" s="98">
        <v>2.04</v>
      </c>
      <c r="AA16" s="98">
        <v>0.75</v>
      </c>
      <c r="AB16" s="98">
        <v>0</v>
      </c>
      <c r="AD16" s="35">
        <f t="shared" si="1"/>
        <v>9.8021607649254552</v>
      </c>
      <c r="AE16" s="36"/>
      <c r="AF16" s="50">
        <f t="shared" si="2"/>
        <v>0.26977199216438374</v>
      </c>
      <c r="AG16" s="35">
        <f t="shared" si="3"/>
        <v>63.369069414151781</v>
      </c>
      <c r="AH16" s="35">
        <f t="shared" si="4"/>
        <v>4.8</v>
      </c>
      <c r="AI16" s="35">
        <f t="shared" si="5"/>
        <v>3.3062284214075017</v>
      </c>
      <c r="AJ16" s="35">
        <f t="shared" si="6"/>
        <v>5.2602235134471105</v>
      </c>
      <c r="AK16" s="36"/>
      <c r="AL16" s="37">
        <f t="shared" si="7"/>
        <v>911.89573022935838</v>
      </c>
      <c r="AM16" s="37">
        <f t="shared" si="8"/>
        <v>908.7939564469192</v>
      </c>
      <c r="AN16" s="37">
        <f t="shared" si="9"/>
        <v>919.32774585936841</v>
      </c>
      <c r="AO16" s="37">
        <f t="shared" ref="AO16:AO29" si="153">(24429.2)/(2.31+42.1*CM16+32.2*CP16+2.21*LN(CI16)-1.4*LN(CJ16)-2.666*LN((CM16+CO16)*CK16))</f>
        <v>938.97933045055822</v>
      </c>
      <c r="AP16" s="37">
        <f t="shared" si="10"/>
        <v>953.15024036365901</v>
      </c>
      <c r="AQ16" s="37">
        <f t="shared" si="11"/>
        <v>916.22486575791947</v>
      </c>
      <c r="AR16" s="37">
        <f t="shared" si="12"/>
        <v>896.97194258739898</v>
      </c>
      <c r="AS16" s="37">
        <f t="shared" si="13"/>
        <v>908.91015101554933</v>
      </c>
      <c r="AT16"/>
      <c r="AU16" s="35">
        <f t="shared" ref="AU16:AU36" si="154">0.5+0.331*EW16+0.995*EW16^2</f>
        <v>5.4255787264711213</v>
      </c>
      <c r="AV16"/>
      <c r="AW16" s="37">
        <f t="shared" si="14"/>
        <v>913.91494359494152</v>
      </c>
      <c r="AX16" s="37">
        <f t="shared" si="15"/>
        <v>929.50832352049622</v>
      </c>
      <c r="AY16" s="38"/>
      <c r="AZ16" s="50">
        <f t="shared" si="16"/>
        <v>-1.0818104362380969</v>
      </c>
      <c r="BA16" s="38"/>
      <c r="BB16" s="35">
        <f t="shared" si="17"/>
        <v>2.8297978386429312</v>
      </c>
      <c r="BC16" s="35">
        <f t="shared" si="18"/>
        <v>2.8746751835788174</v>
      </c>
      <c r="BD16" s="35">
        <f t="shared" si="19"/>
        <v>2.9167086106066993</v>
      </c>
      <c r="BE16" s="35">
        <f t="shared" si="20"/>
        <v>4.3589524087177063</v>
      </c>
      <c r="BF16" s="35">
        <f t="shared" si="21"/>
        <v>10.468376216475557</v>
      </c>
      <c r="BG16" s="35">
        <f t="shared" si="22"/>
        <v>2.5441598304910915</v>
      </c>
      <c r="BH16" s="36"/>
      <c r="BI16" s="50">
        <f t="shared" ref="BI16:BI29" si="155">EZ16/(EZ16+FB16)</f>
        <v>0.36997756342721971</v>
      </c>
      <c r="BJ16" s="50" t="str">
        <f t="shared" si="23"/>
        <v>NO</v>
      </c>
      <c r="BK16" s="35">
        <f t="shared" si="24"/>
        <v>6.4659982447809519</v>
      </c>
      <c r="BL16" s="35">
        <f t="shared" si="25"/>
        <v>5.4539737477470291</v>
      </c>
      <c r="BM16" s="35">
        <f t="shared" si="26"/>
        <v>5.5225864632136163</v>
      </c>
      <c r="BN16" s="35">
        <f t="shared" si="27"/>
        <v>6.8855328231738699</v>
      </c>
      <c r="BO16" s="35">
        <f t="shared" si="28"/>
        <v>5.2741496173804032</v>
      </c>
      <c r="BP16" s="35">
        <f t="shared" si="29"/>
        <v>-4.3165890317344413E-2</v>
      </c>
      <c r="BQ16" s="35">
        <f t="shared" si="30"/>
        <v>6.8559982447809524</v>
      </c>
      <c r="BR16" s="35">
        <f t="shared" si="31"/>
        <v>6.8184993330332659</v>
      </c>
      <c r="BS16" s="23"/>
      <c r="BT16" s="23">
        <f t="shared" si="32"/>
        <v>1.0553614685588142</v>
      </c>
      <c r="BU16" s="23">
        <f t="shared" si="33"/>
        <v>7.1061004982819111E-3</v>
      </c>
      <c r="BV16" s="23">
        <f t="shared" si="34"/>
        <v>0.1636137594080791</v>
      </c>
      <c r="BW16" s="23">
        <f t="shared" si="35"/>
        <v>0</v>
      </c>
      <c r="BX16" s="23">
        <f t="shared" si="36"/>
        <v>7.2538748178784904E-2</v>
      </c>
      <c r="BY16" s="23">
        <f t="shared" si="37"/>
        <v>1.9661435592201147E-3</v>
      </c>
      <c r="BZ16" s="23">
        <f t="shared" si="38"/>
        <v>3.3323264758786934E-2</v>
      </c>
      <c r="CA16" s="23">
        <f t="shared" si="39"/>
        <v>8.3461265521629274E-2</v>
      </c>
      <c r="CB16" s="23">
        <f t="shared" si="40"/>
        <v>6.1266426596359641E-2</v>
      </c>
      <c r="CC16" s="23">
        <f t="shared" si="41"/>
        <v>4.3720926092292334E-2</v>
      </c>
      <c r="CD16" s="23">
        <f t="shared" si="42"/>
        <v>2.260537150187529E-3</v>
      </c>
      <c r="CE16" s="23">
        <f t="shared" si="43"/>
        <v>0.27756374528974326</v>
      </c>
      <c r="CF16" s="22">
        <f t="shared" si="44"/>
        <v>1.8021823856121795</v>
      </c>
      <c r="CG16" s="22">
        <f t="shared" ref="CG16:CG29" si="156">BT16+BU16+BX16+BY16+BZ16+CA16+2*(BV16+BW16+CB16+CC16+CD16)</f>
        <v>1.7954802895693547</v>
      </c>
      <c r="CH16" s="22">
        <f t="shared" ref="CH16:CH29" si="157">SUM(BT16:CD16)</f>
        <v>1.5246186403224362</v>
      </c>
      <c r="CI16" s="23">
        <f t="shared" si="45"/>
        <v>0.58560192186115545</v>
      </c>
      <c r="CJ16" s="23">
        <f t="shared" si="46"/>
        <v>3.9430529090805954E-3</v>
      </c>
      <c r="CK16" s="23">
        <f t="shared" si="47"/>
        <v>9.0786460190876564E-2</v>
      </c>
      <c r="CL16" s="23">
        <f t="shared" si="48"/>
        <v>0</v>
      </c>
      <c r="CM16" s="23">
        <f t="shared" si="49"/>
        <v>4.0250503366308497E-2</v>
      </c>
      <c r="CN16" s="23">
        <f t="shared" si="50"/>
        <v>1.0909792343532642E-3</v>
      </c>
      <c r="CO16" s="23">
        <f t="shared" si="51"/>
        <v>1.8490506302150669E-2</v>
      </c>
      <c r="CP16" s="23">
        <f t="shared" si="52"/>
        <v>4.6311220322619286E-2</v>
      </c>
      <c r="CQ16" s="23">
        <f t="shared" si="53"/>
        <v>3.3995686055686411E-2</v>
      </c>
      <c r="CR16" s="23">
        <f t="shared" si="54"/>
        <v>2.425998968880215E-2</v>
      </c>
      <c r="CS16" s="23">
        <f t="shared" si="55"/>
        <v>1.2543331730654175E-3</v>
      </c>
      <c r="CT16" s="23">
        <f t="shared" si="56"/>
        <v>0.15401534689590157</v>
      </c>
      <c r="CU16" s="22">
        <f t="shared" si="57"/>
        <v>0.99999999999999989</v>
      </c>
      <c r="CV16" s="22">
        <f t="shared" si="58"/>
        <v>0.84598465310409832</v>
      </c>
      <c r="CX16">
        <f t="shared" si="59"/>
        <v>0.58778783297695925</v>
      </c>
      <c r="CY16">
        <f t="shared" si="60"/>
        <v>3.9577713771429407E-3</v>
      </c>
      <c r="CZ16">
        <f t="shared" si="61"/>
        <v>0.18225068841866462</v>
      </c>
      <c r="DA16">
        <f t="shared" si="62"/>
        <v>0</v>
      </c>
      <c r="DB16">
        <f t="shared" si="63"/>
        <v>4.0400748813668848E-2</v>
      </c>
      <c r="DC16">
        <f t="shared" si="64"/>
        <v>1.0950515974150257E-3</v>
      </c>
      <c r="DD16">
        <f t="shared" si="65"/>
        <v>1.8559526914539121E-2</v>
      </c>
      <c r="DE16">
        <f t="shared" si="66"/>
        <v>4.6484088968555277E-2</v>
      </c>
      <c r="DF16">
        <f t="shared" si="67"/>
        <v>6.824516754907331E-2</v>
      </c>
      <c r="DG16">
        <f t="shared" si="68"/>
        <v>4.8701092789805875E-2</v>
      </c>
      <c r="DH16">
        <f t="shared" si="69"/>
        <v>2.5180305941756879E-3</v>
      </c>
      <c r="DI16" s="22">
        <f t="shared" si="70"/>
        <v>0.99999999999999989</v>
      </c>
      <c r="DJ16" s="22">
        <f t="shared" si="71"/>
        <v>0.65657750860041653</v>
      </c>
      <c r="DK16" s="22">
        <f t="shared" si="72"/>
        <v>2.3535656519627236E-2</v>
      </c>
      <c r="DL16" s="22">
        <f t="shared" si="73"/>
        <v>0.10592285285550358</v>
      </c>
      <c r="DM16" s="22">
        <f t="shared" si="74"/>
        <v>0</v>
      </c>
      <c r="DN16" s="22">
        <f t="shared" si="75"/>
        <v>0.16493519508284338</v>
      </c>
      <c r="DO16" s="22">
        <f t="shared" si="76"/>
        <v>0</v>
      </c>
      <c r="DP16" s="22">
        <f t="shared" si="77"/>
        <v>0.28086263534502437</v>
      </c>
      <c r="DQ16" s="22">
        <f t="shared" si="78"/>
        <v>0.19508750405689279</v>
      </c>
      <c r="DR16" s="22">
        <f t="shared" si="79"/>
        <v>3.2914427329300777E-2</v>
      </c>
      <c r="DS16" s="22">
        <f t="shared" si="80"/>
        <v>7.9621215338230925E-3</v>
      </c>
      <c r="DT16" s="22">
        <f t="shared" si="81"/>
        <v>1.4677979013234315</v>
      </c>
      <c r="DU16" s="22">
        <f t="shared" si="82"/>
        <v>0.65657750860041653</v>
      </c>
      <c r="DV16" s="22">
        <f t="shared" si="83"/>
        <v>2.3535656519627236E-2</v>
      </c>
      <c r="DW16" s="22">
        <f t="shared" si="84"/>
        <v>0.21184570571100717</v>
      </c>
      <c r="DX16" s="22">
        <f t="shared" si="85"/>
        <v>0</v>
      </c>
      <c r="DZ16" s="22">
        <f t="shared" si="86"/>
        <v>0.16493519508284338</v>
      </c>
      <c r="EA16" s="22">
        <f t="shared" si="87"/>
        <v>0</v>
      </c>
      <c r="EB16" s="22">
        <f t="shared" si="88"/>
        <v>0.28086263534502437</v>
      </c>
      <c r="EC16" s="22">
        <f t="shared" si="89"/>
        <v>0.19508750405689279</v>
      </c>
      <c r="ED16" s="22">
        <f t="shared" si="90"/>
        <v>6.5828854658601554E-2</v>
      </c>
      <c r="EE16" s="22">
        <f t="shared" si="91"/>
        <v>1.5924243067646185E-2</v>
      </c>
      <c r="EG16" s="22">
        <f t="shared" si="92"/>
        <v>1.3131550172008331</v>
      </c>
      <c r="EH16" s="22">
        <f t="shared" si="93"/>
        <v>4.7071313039254471E-2</v>
      </c>
      <c r="EI16" s="22">
        <f t="shared" si="94"/>
        <v>0.31776855856651076</v>
      </c>
      <c r="EJ16" s="22">
        <f t="shared" si="95"/>
        <v>0</v>
      </c>
      <c r="EL16" s="22">
        <f t="shared" si="96"/>
        <v>0.16493519508284338</v>
      </c>
      <c r="EM16" s="22">
        <f t="shared" si="97"/>
        <v>0</v>
      </c>
      <c r="EN16" s="22">
        <f t="shared" si="98"/>
        <v>0.28086263534502437</v>
      </c>
      <c r="EO16" s="22">
        <f t="shared" si="99"/>
        <v>0.19508750405689279</v>
      </c>
      <c r="EP16" s="22">
        <f t="shared" si="100"/>
        <v>3.2914427329300777E-2</v>
      </c>
      <c r="EQ16" s="22">
        <f t="shared" si="101"/>
        <v>7.9621215338230925E-3</v>
      </c>
      <c r="ER16" s="22">
        <f t="shared" si="102"/>
        <v>2.3597567721544825</v>
      </c>
      <c r="ES16" s="22">
        <f t="shared" si="103"/>
        <v>9.7467672394900084</v>
      </c>
      <c r="EU16" s="86">
        <f t="shared" si="104"/>
        <v>6.3995081510125091</v>
      </c>
      <c r="EV16" s="86">
        <f t="shared" si="105"/>
        <v>0.22939656592539218</v>
      </c>
      <c r="EW16" s="86">
        <f t="shared" si="106"/>
        <v>2.0648107842506862</v>
      </c>
      <c r="EX16" s="86">
        <f t="shared" si="107"/>
        <v>0</v>
      </c>
      <c r="EY16" s="86"/>
      <c r="EZ16" s="86">
        <f t="shared" si="108"/>
        <v>1.6075849560723514</v>
      </c>
      <c r="FA16" s="86">
        <f t="shared" si="109"/>
        <v>0</v>
      </c>
      <c r="FB16" s="86">
        <f t="shared" si="110"/>
        <v>2.737502732977712</v>
      </c>
      <c r="FC16" s="86">
        <f t="shared" si="111"/>
        <v>1.9014724933755969</v>
      </c>
      <c r="FD16" s="86">
        <f t="shared" si="112"/>
        <v>0.64161852399960684</v>
      </c>
      <c r="FE16" s="86">
        <f t="shared" si="113"/>
        <v>0.15520989064540971</v>
      </c>
      <c r="FF16" s="22">
        <f t="shared" si="114"/>
        <v>14.940275683614248</v>
      </c>
      <c r="FG16" s="22">
        <f t="shared" si="115"/>
        <v>15.737104098259264</v>
      </c>
      <c r="FH16" s="22">
        <f t="shared" si="116"/>
        <v>13.038803190238651</v>
      </c>
      <c r="FI16" s="22" t="str">
        <f t="shared" si="117"/>
        <v>Good</v>
      </c>
      <c r="FJ16" s="22">
        <f t="shared" si="118"/>
        <v>147.05956665218864</v>
      </c>
      <c r="FK16" s="22">
        <f t="shared" ref="FK16:FK36" si="158">FB16/(FB16+EZ16)</f>
        <v>0.63002243657278023</v>
      </c>
      <c r="FL16" s="22">
        <f t="shared" si="119"/>
        <v>0.20322265594909261</v>
      </c>
      <c r="FM16" s="87"/>
      <c r="FN16" s="87">
        <f t="shared" si="120"/>
        <v>-12.266250921989093</v>
      </c>
      <c r="FO16" s="22">
        <f t="shared" si="121"/>
        <v>0.10116568819464179</v>
      </c>
      <c r="FP16" s="88">
        <f t="shared" si="122"/>
        <v>0.13526423879980012</v>
      </c>
      <c r="FQ16" s="88">
        <f t="shared" si="123"/>
        <v>1.4723207172725512</v>
      </c>
      <c r="FR16" s="87">
        <f t="shared" si="124"/>
        <v>6.3995081510125091</v>
      </c>
      <c r="FS16" s="87">
        <f t="shared" si="125"/>
        <v>1.6004918489874909</v>
      </c>
      <c r="FT16" s="87">
        <f t="shared" si="126"/>
        <v>0</v>
      </c>
      <c r="FU16" s="86">
        <f t="shared" si="127"/>
        <v>8</v>
      </c>
      <c r="FV16" s="87">
        <f t="shared" si="128"/>
        <v>0.46431893526319534</v>
      </c>
      <c r="FW16" s="87">
        <f t="shared" si="129"/>
        <v>0</v>
      </c>
      <c r="FX16" s="87">
        <f t="shared" si="130"/>
        <v>0.13526423879980012</v>
      </c>
      <c r="FY16" s="87">
        <f t="shared" si="131"/>
        <v>0.22939656592539218</v>
      </c>
      <c r="FZ16" s="87">
        <f t="shared" si="132"/>
        <v>0.82897973998838759</v>
      </c>
      <c r="GA16" s="87">
        <f t="shared" si="133"/>
        <v>2.737502732977712</v>
      </c>
      <c r="GB16" s="87">
        <f t="shared" si="134"/>
        <v>3.5664824729660998</v>
      </c>
      <c r="GC16" s="87">
        <f t="shared" si="135"/>
        <v>1.4335175270339002</v>
      </c>
      <c r="GD16" s="87">
        <f t="shared" si="136"/>
        <v>5</v>
      </c>
      <c r="GE16" s="87">
        <f t="shared" si="137"/>
        <v>0</v>
      </c>
      <c r="GF16" s="87">
        <f t="shared" si="138"/>
        <v>5</v>
      </c>
      <c r="GG16" s="86">
        <f t="shared" si="139"/>
        <v>0</v>
      </c>
      <c r="GH16" s="86">
        <f t="shared" si="140"/>
        <v>3.8803190238650975E-2</v>
      </c>
      <c r="GI16" s="86">
        <f t="shared" si="141"/>
        <v>0</v>
      </c>
      <c r="GJ16" s="89">
        <f t="shared" si="142"/>
        <v>3.8803190238650975E-2</v>
      </c>
      <c r="GK16" s="89">
        <f t="shared" si="143"/>
        <v>3.8803190238650975E-2</v>
      </c>
      <c r="GL16" s="87">
        <f t="shared" si="144"/>
        <v>1.9014724933755969</v>
      </c>
      <c r="GM16" s="87">
        <f t="shared" si="145"/>
        <v>5.9724316385752152E-2</v>
      </c>
      <c r="GN16" s="89">
        <f t="shared" si="146"/>
        <v>2</v>
      </c>
      <c r="GO16" s="87"/>
      <c r="GP16" s="86" t="str">
        <f t="shared" ref="GP16:GP29" si="159">IF(GL16&lt;1,"Mg-Fe-Li grpup",IF(AND(GL16+GM16&gt;=1,GM16&lt;0.5),"CALCIC",IF(AND(GL16+GM16&gt;=1,GM16&gt;0.5),"SODIC-CALCIC")))</f>
        <v>CALCIC</v>
      </c>
      <c r="GQ16" s="87"/>
      <c r="GR16" s="87">
        <f t="shared" si="147"/>
        <v>0.58189420761385469</v>
      </c>
      <c r="GS16" s="87">
        <f t="shared" si="148"/>
        <v>0.15520989064540971</v>
      </c>
      <c r="GT16" s="87">
        <f t="shared" si="149"/>
        <v>0.73710409825926437</v>
      </c>
      <c r="GU16" s="86">
        <f t="shared" si="150"/>
        <v>0</v>
      </c>
      <c r="GV16" s="86">
        <f t="shared" si="151"/>
        <v>0.64161852399960684</v>
      </c>
    </row>
    <row r="17" spans="1:204" s="22" customFormat="1" ht="18" customHeight="1" x14ac:dyDescent="0.35">
      <c r="A17" s="97" t="s">
        <v>163</v>
      </c>
      <c r="B17" s="97" t="s">
        <v>161</v>
      </c>
      <c r="C17" s="36">
        <f t="shared" si="0"/>
        <v>968.17757812163688</v>
      </c>
      <c r="D17" s="36">
        <f t="shared" si="152"/>
        <v>4.7009606344014543</v>
      </c>
      <c r="F17" s="95">
        <v>64.978351092853472</v>
      </c>
      <c r="G17" s="95">
        <v>0.53184026005744567</v>
      </c>
      <c r="H17" s="95">
        <v>16.204967425431715</v>
      </c>
      <c r="I17" s="95">
        <v>4.6849119717873613</v>
      </c>
      <c r="J17" s="95">
        <v>0.12812981729561296</v>
      </c>
      <c r="K17" s="95">
        <v>1.1269601458672929</v>
      </c>
      <c r="L17" s="95">
        <v>3.936378654854618</v>
      </c>
      <c r="M17" s="95">
        <v>3.7939402217385538</v>
      </c>
      <c r="N17" s="95">
        <v>4.5172845405309445</v>
      </c>
      <c r="O17" s="95">
        <v>0</v>
      </c>
      <c r="P17" s="95">
        <v>0.32069100237066112</v>
      </c>
      <c r="Q17" s="95">
        <f t="shared" ref="Q17:Q26" si="160">Q16</f>
        <v>5</v>
      </c>
      <c r="S17" s="98">
        <v>42.88</v>
      </c>
      <c r="T17" s="98">
        <v>3.46</v>
      </c>
      <c r="U17" s="98">
        <v>14.28</v>
      </c>
      <c r="V17" s="98">
        <v>15.99</v>
      </c>
      <c r="W17" s="98">
        <v>0.54</v>
      </c>
      <c r="X17" s="98">
        <v>14.25</v>
      </c>
      <c r="Y17" s="98">
        <v>12.12</v>
      </c>
      <c r="Z17" s="98">
        <v>2.4300000000000002</v>
      </c>
      <c r="AA17" s="98">
        <v>1.18</v>
      </c>
      <c r="AB17" s="98">
        <v>0.03</v>
      </c>
      <c r="AD17" s="35">
        <f t="shared" si="1"/>
        <v>11.878099005943598</v>
      </c>
      <c r="AE17" s="36"/>
      <c r="AF17" s="50">
        <f t="shared" si="2"/>
        <v>0.26992351588719965</v>
      </c>
      <c r="AG17" s="35">
        <f t="shared" si="3"/>
        <v>55.154572604355693</v>
      </c>
      <c r="AH17" s="35">
        <f t="shared" si="4"/>
        <v>7</v>
      </c>
      <c r="AI17" s="35">
        <f t="shared" si="5"/>
        <v>4.7009606344014543</v>
      </c>
      <c r="AJ17" s="35">
        <f t="shared" si="6"/>
        <v>7.9592966689232494</v>
      </c>
      <c r="AK17" s="36"/>
      <c r="AL17" s="37">
        <f t="shared" si="7"/>
        <v>978.97328086757784</v>
      </c>
      <c r="AM17" s="37">
        <f t="shared" si="8"/>
        <v>975.04004850856779</v>
      </c>
      <c r="AN17" s="37">
        <f t="shared" si="9"/>
        <v>1010.0363451497985</v>
      </c>
      <c r="AO17" s="37">
        <f t="shared" si="153"/>
        <v>933.46073564929145</v>
      </c>
      <c r="AP17" s="37">
        <f t="shared" si="10"/>
        <v>948.69359639035872</v>
      </c>
      <c r="AQ17" s="37">
        <f t="shared" si="11"/>
        <v>911.94548115826194</v>
      </c>
      <c r="AR17" s="37">
        <f t="shared" si="12"/>
        <v>995.2628668006555</v>
      </c>
      <c r="AS17" s="37">
        <f t="shared" si="13"/>
        <v>992.00827044858306</v>
      </c>
      <c r="AT17"/>
      <c r="AU17" s="35">
        <f t="shared" si="154"/>
        <v>6.5848178300316462</v>
      </c>
      <c r="AV17"/>
      <c r="AW17" s="37">
        <f t="shared" si="14"/>
        <v>911.61925542846222</v>
      </c>
      <c r="AX17" s="37">
        <f t="shared" si="15"/>
        <v>923.39858283389049</v>
      </c>
      <c r="AY17" s="38"/>
      <c r="AZ17" s="50">
        <f t="shared" si="16"/>
        <v>-0.89688275142857199</v>
      </c>
      <c r="BA17" s="38"/>
      <c r="BB17" s="35">
        <f t="shared" si="17"/>
        <v>10.459166358299735</v>
      </c>
      <c r="BC17" s="35">
        <f t="shared" si="18"/>
        <v>5.0533696553474927</v>
      </c>
      <c r="BD17" s="35">
        <f t="shared" si="19"/>
        <v>5.8853681446282362</v>
      </c>
      <c r="BE17" s="35">
        <f t="shared" si="20"/>
        <v>6.6572177409706441</v>
      </c>
      <c r="BF17" s="35">
        <f t="shared" si="21"/>
        <v>5.5846903866583082</v>
      </c>
      <c r="BG17" s="35">
        <f t="shared" si="22"/>
        <v>3.3206288185332253</v>
      </c>
      <c r="BH17" s="36"/>
      <c r="BI17" s="50">
        <f t="shared" si="155"/>
        <v>0.38630680331060968</v>
      </c>
      <c r="BJ17" s="50" t="str">
        <f t="shared" si="23"/>
        <v>NO</v>
      </c>
      <c r="BK17" s="35">
        <f t="shared" si="24"/>
        <v>7.7103069876118706</v>
      </c>
      <c r="BL17" s="35">
        <f t="shared" si="25"/>
        <v>6.846842525068606</v>
      </c>
      <c r="BM17" s="35">
        <f t="shared" si="26"/>
        <v>7.9642676135755242</v>
      </c>
      <c r="BN17" s="35">
        <f t="shared" si="27"/>
        <v>8.2807418310399505</v>
      </c>
      <c r="BO17" s="35">
        <f t="shared" si="28"/>
        <v>6.3205563732799641</v>
      </c>
      <c r="BP17" s="35">
        <f t="shared" si="29"/>
        <v>-1.5841368056330793</v>
      </c>
      <c r="BQ17" s="35">
        <f t="shared" si="30"/>
        <v>8.1003069876118712</v>
      </c>
      <c r="BR17" s="35">
        <f t="shared" si="31"/>
        <v>7.9960161552748517</v>
      </c>
      <c r="BS17" s="23"/>
      <c r="BT17" s="23">
        <f t="shared" si="32"/>
        <v>1.0814530766415431</v>
      </c>
      <c r="BU17" s="23">
        <f t="shared" si="33"/>
        <v>6.6580902574581201E-3</v>
      </c>
      <c r="BV17" s="23">
        <f t="shared" si="34"/>
        <v>0.15893299816039186</v>
      </c>
      <c r="BW17" s="23">
        <f t="shared" si="35"/>
        <v>0</v>
      </c>
      <c r="BX17" s="23">
        <f t="shared" si="36"/>
        <v>6.5207330802759242E-2</v>
      </c>
      <c r="BY17" s="23">
        <f t="shared" si="37"/>
        <v>1.8062353098941034E-3</v>
      </c>
      <c r="BZ17" s="23">
        <f t="shared" si="38"/>
        <v>2.7961218771828705E-2</v>
      </c>
      <c r="CA17" s="23">
        <f t="shared" si="39"/>
        <v>7.0195455831665129E-2</v>
      </c>
      <c r="CB17" s="23">
        <f t="shared" si="40"/>
        <v>6.1213416529472993E-2</v>
      </c>
      <c r="CC17" s="23">
        <f t="shared" si="41"/>
        <v>4.7956224686090114E-2</v>
      </c>
      <c r="CD17" s="23">
        <f t="shared" si="42"/>
        <v>2.2593897459482807E-3</v>
      </c>
      <c r="CE17" s="23">
        <f t="shared" si="43"/>
        <v>0.27756374528974326</v>
      </c>
      <c r="CF17" s="22">
        <f t="shared" si="44"/>
        <v>1.801207182026795</v>
      </c>
      <c r="CG17" s="22">
        <f t="shared" si="156"/>
        <v>1.7940054658589553</v>
      </c>
      <c r="CH17" s="22">
        <f t="shared" si="157"/>
        <v>1.5236434367370517</v>
      </c>
      <c r="CI17" s="23">
        <f t="shared" si="45"/>
        <v>0.60040459944460478</v>
      </c>
      <c r="CJ17" s="23">
        <f t="shared" si="46"/>
        <v>3.6964599763399529E-3</v>
      </c>
      <c r="CK17" s="23">
        <f t="shared" si="47"/>
        <v>8.8236933400162046E-2</v>
      </c>
      <c r="CL17" s="23">
        <f t="shared" si="48"/>
        <v>0</v>
      </c>
      <c r="CM17" s="23">
        <f t="shared" si="49"/>
        <v>3.620201576666221E-2</v>
      </c>
      <c r="CN17" s="23">
        <f t="shared" si="50"/>
        <v>1.0027915322109978E-3</v>
      </c>
      <c r="CO17" s="23">
        <f t="shared" si="51"/>
        <v>1.5523599423118862E-2</v>
      </c>
      <c r="CP17" s="23">
        <f t="shared" si="52"/>
        <v>3.8971339073097751E-2</v>
      </c>
      <c r="CQ17" s="23">
        <f t="shared" si="53"/>
        <v>3.3984661587121281E-2</v>
      </c>
      <c r="CR17" s="23">
        <f t="shared" si="54"/>
        <v>2.6624491154941837E-2</v>
      </c>
      <c r="CS17" s="23">
        <f t="shared" si="55"/>
        <v>1.2543752703705741E-3</v>
      </c>
      <c r="CT17" s="23">
        <f t="shared" si="56"/>
        <v>0.1540987333713697</v>
      </c>
      <c r="CU17" s="22">
        <f t="shared" si="57"/>
        <v>0.99999999999999989</v>
      </c>
      <c r="CV17" s="22">
        <f t="shared" si="58"/>
        <v>0.84590126662863019</v>
      </c>
      <c r="CX17">
        <f t="shared" si="59"/>
        <v>0.60281481702384454</v>
      </c>
      <c r="CY17">
        <f t="shared" si="60"/>
        <v>3.7112987580950768E-3</v>
      </c>
      <c r="CZ17">
        <f t="shared" si="61"/>
        <v>0.17718228978114739</v>
      </c>
      <c r="DA17">
        <f t="shared" si="62"/>
        <v>0</v>
      </c>
      <c r="DB17">
        <f t="shared" si="63"/>
        <v>3.6347342326261252E-2</v>
      </c>
      <c r="DC17">
        <f t="shared" si="64"/>
        <v>1.0068170606321383E-3</v>
      </c>
      <c r="DD17">
        <f t="shared" si="65"/>
        <v>1.5585916154631726E-2</v>
      </c>
      <c r="DE17">
        <f t="shared" si="66"/>
        <v>3.9127782589032475E-2</v>
      </c>
      <c r="DF17">
        <f t="shared" si="67"/>
        <v>6.8242173944731546E-2</v>
      </c>
      <c r="DG17">
        <f t="shared" si="68"/>
        <v>5.346274088761381E-2</v>
      </c>
      <c r="DH17">
        <f t="shared" si="69"/>
        <v>2.5188214740098388E-3</v>
      </c>
      <c r="DI17" s="22">
        <f t="shared" si="70"/>
        <v>0.99999999999999967</v>
      </c>
      <c r="DJ17" s="22">
        <f t="shared" si="71"/>
        <v>0.71366396879051608</v>
      </c>
      <c r="DK17" s="22">
        <f t="shared" si="72"/>
        <v>4.3315623169101189E-2</v>
      </c>
      <c r="DL17" s="22">
        <f t="shared" si="73"/>
        <v>0.14005354988672139</v>
      </c>
      <c r="DM17" s="22">
        <f t="shared" si="74"/>
        <v>1.9738634165470287E-4</v>
      </c>
      <c r="DN17" s="22">
        <f t="shared" si="75"/>
        <v>0.2225581239978621</v>
      </c>
      <c r="DO17" s="22">
        <f t="shared" si="76"/>
        <v>7.6123348017621151E-3</v>
      </c>
      <c r="DP17" s="22">
        <f t="shared" si="77"/>
        <v>0.35355941286807396</v>
      </c>
      <c r="DQ17" s="22">
        <f t="shared" si="78"/>
        <v>0.21612984910142052</v>
      </c>
      <c r="DR17" s="22">
        <f t="shared" si="79"/>
        <v>3.9206891377549458E-2</v>
      </c>
      <c r="DS17" s="22">
        <f t="shared" si="80"/>
        <v>1.2527071213214998E-2</v>
      </c>
      <c r="DT17" s="22">
        <f t="shared" si="81"/>
        <v>1.7488242115478763</v>
      </c>
      <c r="DU17" s="22">
        <f t="shared" si="82"/>
        <v>0.71366396879051608</v>
      </c>
      <c r="DV17" s="22">
        <f t="shared" si="83"/>
        <v>4.3315623169101189E-2</v>
      </c>
      <c r="DW17" s="22">
        <f t="shared" si="84"/>
        <v>0.28010709977344278</v>
      </c>
      <c r="DX17" s="22">
        <f t="shared" si="85"/>
        <v>3.9477268330940574E-4</v>
      </c>
      <c r="DZ17" s="22">
        <f t="shared" si="86"/>
        <v>0.2225581239978621</v>
      </c>
      <c r="EA17" s="22">
        <f t="shared" si="87"/>
        <v>7.6123348017621151E-3</v>
      </c>
      <c r="EB17" s="22">
        <f t="shared" si="88"/>
        <v>0.35355941286807396</v>
      </c>
      <c r="EC17" s="22">
        <f t="shared" si="89"/>
        <v>0.21612984910142052</v>
      </c>
      <c r="ED17" s="22">
        <f t="shared" si="90"/>
        <v>7.8413782755098915E-2</v>
      </c>
      <c r="EE17" s="22">
        <f t="shared" si="91"/>
        <v>2.5054142426429997E-2</v>
      </c>
      <c r="EG17" s="22">
        <f t="shared" si="92"/>
        <v>1.4273279375810322</v>
      </c>
      <c r="EH17" s="22">
        <f t="shared" si="93"/>
        <v>8.6631246338202378E-2</v>
      </c>
      <c r="EI17" s="22">
        <f t="shared" si="94"/>
        <v>0.4201606496601642</v>
      </c>
      <c r="EJ17" s="22">
        <f t="shared" si="95"/>
        <v>5.9215902496410856E-4</v>
      </c>
      <c r="EL17" s="22">
        <f t="shared" si="96"/>
        <v>0.2225581239978621</v>
      </c>
      <c r="EM17" s="22">
        <f t="shared" si="97"/>
        <v>7.6123348017621151E-3</v>
      </c>
      <c r="EN17" s="22">
        <f t="shared" si="98"/>
        <v>0.35355941286807396</v>
      </c>
      <c r="EO17" s="22">
        <f t="shared" si="99"/>
        <v>0.21612984910142052</v>
      </c>
      <c r="EP17" s="22">
        <f t="shared" si="100"/>
        <v>3.9206891377549458E-2</v>
      </c>
      <c r="EQ17" s="22">
        <f t="shared" si="101"/>
        <v>1.2527071213214998E-2</v>
      </c>
      <c r="ER17" s="22">
        <f t="shared" si="102"/>
        <v>2.7863056759642464</v>
      </c>
      <c r="ES17" s="22">
        <f t="shared" si="103"/>
        <v>8.2546578426074788</v>
      </c>
      <c r="EU17" s="86">
        <f t="shared" si="104"/>
        <v>5.8910518769630125</v>
      </c>
      <c r="EV17" s="86">
        <f t="shared" si="105"/>
        <v>0.35755564850025134</v>
      </c>
      <c r="EW17" s="86">
        <f t="shared" si="106"/>
        <v>2.3121882679148849</v>
      </c>
      <c r="EX17" s="86">
        <f t="shared" si="107"/>
        <v>3.2587134263271848E-3</v>
      </c>
      <c r="EY17" s="86"/>
      <c r="EZ17" s="86">
        <f t="shared" si="108"/>
        <v>1.8371411636949602</v>
      </c>
      <c r="FA17" s="86">
        <f t="shared" si="109"/>
        <v>6.2837219171919492E-2</v>
      </c>
      <c r="FB17" s="86">
        <f t="shared" si="110"/>
        <v>2.9185119802591424</v>
      </c>
      <c r="FC17" s="86">
        <f t="shared" si="111"/>
        <v>1.7840779539066118</v>
      </c>
      <c r="FD17" s="86">
        <f t="shared" si="112"/>
        <v>0.64727894678789633</v>
      </c>
      <c r="FE17" s="86">
        <f t="shared" si="113"/>
        <v>0.20681337327013513</v>
      </c>
      <c r="FF17" s="22">
        <f t="shared" si="114"/>
        <v>15.166622823837109</v>
      </c>
      <c r="FG17" s="22">
        <f t="shared" si="115"/>
        <v>16.020715143895139</v>
      </c>
      <c r="FH17" s="22">
        <f t="shared" si="116"/>
        <v>13.382544869930497</v>
      </c>
      <c r="FI17" s="22" t="str">
        <f t="shared" si="117"/>
        <v>BAD</v>
      </c>
      <c r="FJ17" s="22">
        <f t="shared" si="118"/>
        <v>181.94476088975878</v>
      </c>
      <c r="FK17" s="22">
        <f t="shared" si="158"/>
        <v>0.61369319668939026</v>
      </c>
      <c r="FL17" s="22">
        <f t="shared" si="119"/>
        <v>0.18088747398721025</v>
      </c>
      <c r="FM17" s="87"/>
      <c r="FN17" s="87">
        <f t="shared" si="120"/>
        <v>-11.001743433512658</v>
      </c>
      <c r="FO17" s="22">
        <f t="shared" si="121"/>
        <v>0.11042319133558848</v>
      </c>
      <c r="FP17" s="88">
        <f t="shared" si="122"/>
        <v>0.16616586092126992</v>
      </c>
      <c r="FQ17" s="88">
        <f t="shared" si="123"/>
        <v>1.6709753027736902</v>
      </c>
      <c r="FR17" s="87">
        <f t="shared" si="124"/>
        <v>5.8910518769630125</v>
      </c>
      <c r="FS17" s="87">
        <f t="shared" si="125"/>
        <v>2.1089481230369875</v>
      </c>
      <c r="FT17" s="87">
        <f t="shared" si="126"/>
        <v>0</v>
      </c>
      <c r="FU17" s="86">
        <f t="shared" si="127"/>
        <v>8</v>
      </c>
      <c r="FV17" s="87">
        <f t="shared" si="128"/>
        <v>0.20324014487789732</v>
      </c>
      <c r="FW17" s="87">
        <f t="shared" si="129"/>
        <v>3.2587134263271848E-3</v>
      </c>
      <c r="FX17" s="87">
        <f t="shared" si="130"/>
        <v>0.16616586092126992</v>
      </c>
      <c r="FY17" s="87">
        <f t="shared" si="131"/>
        <v>0.35755564850025134</v>
      </c>
      <c r="FZ17" s="87">
        <f t="shared" si="132"/>
        <v>0.73022036772574572</v>
      </c>
      <c r="GA17" s="87">
        <f t="shared" si="133"/>
        <v>2.9185119802591424</v>
      </c>
      <c r="GB17" s="87">
        <f t="shared" si="134"/>
        <v>3.6487323479848879</v>
      </c>
      <c r="GC17" s="87">
        <f t="shared" si="135"/>
        <v>1.3512676520151121</v>
      </c>
      <c r="GD17" s="87">
        <f t="shared" si="136"/>
        <v>5</v>
      </c>
      <c r="GE17" s="87">
        <f t="shared" si="137"/>
        <v>0</v>
      </c>
      <c r="GF17" s="87">
        <f t="shared" si="138"/>
        <v>5</v>
      </c>
      <c r="GG17" s="86">
        <f t="shared" si="139"/>
        <v>0</v>
      </c>
      <c r="GH17" s="86">
        <f t="shared" si="140"/>
        <v>0.3197076507585781</v>
      </c>
      <c r="GI17" s="86">
        <f t="shared" si="141"/>
        <v>6.2837219171919492E-2</v>
      </c>
      <c r="GJ17" s="89">
        <f t="shared" si="142"/>
        <v>0.38254486993049758</v>
      </c>
      <c r="GK17" s="89">
        <f t="shared" si="143"/>
        <v>0.38254486993049758</v>
      </c>
      <c r="GL17" s="87">
        <f t="shared" si="144"/>
        <v>1.6174551300695024</v>
      </c>
      <c r="GM17" s="87">
        <f t="shared" si="145"/>
        <v>0</v>
      </c>
      <c r="GN17" s="89">
        <f t="shared" si="146"/>
        <v>2</v>
      </c>
      <c r="GO17" s="87"/>
      <c r="GP17" s="86" t="str">
        <f t="shared" si="159"/>
        <v>CALCIC</v>
      </c>
      <c r="GQ17" s="87"/>
      <c r="GR17" s="87">
        <f t="shared" si="147"/>
        <v>0.64727894678789633</v>
      </c>
      <c r="GS17" s="87">
        <f t="shared" si="148"/>
        <v>0.20681337327013513</v>
      </c>
      <c r="GT17" s="87">
        <f t="shared" si="149"/>
        <v>0.85409232005803148</v>
      </c>
      <c r="GU17" s="86">
        <f t="shared" si="150"/>
        <v>0</v>
      </c>
      <c r="GV17" s="86">
        <f t="shared" si="151"/>
        <v>0.64727894678789633</v>
      </c>
    </row>
    <row r="18" spans="1:204" s="22" customFormat="1" ht="18" customHeight="1" x14ac:dyDescent="0.35">
      <c r="A18" s="97" t="s">
        <v>164</v>
      </c>
      <c r="B18" s="97" t="s">
        <v>161</v>
      </c>
      <c r="C18" s="36">
        <f t="shared" si="0"/>
        <v>944.00122501854844</v>
      </c>
      <c r="D18" s="36">
        <f t="shared" si="152"/>
        <v>2.5996916434763193</v>
      </c>
      <c r="F18" s="95">
        <v>60.953715432689123</v>
      </c>
      <c r="G18" s="95">
        <v>0.62371247607583158</v>
      </c>
      <c r="H18" s="95">
        <v>17.430190858723215</v>
      </c>
      <c r="I18" s="95">
        <v>6.0371641042352673</v>
      </c>
      <c r="J18" s="95">
        <v>0.15725116475533879</v>
      </c>
      <c r="K18" s="95">
        <v>1.6817745315216575</v>
      </c>
      <c r="L18" s="95">
        <v>5.8461718908838298</v>
      </c>
      <c r="M18" s="95">
        <v>3.8023748691925574</v>
      </c>
      <c r="N18" s="95">
        <v>3.4930929309330216</v>
      </c>
      <c r="O18" s="95">
        <v>0</v>
      </c>
      <c r="P18" s="95">
        <v>0.32110909911945873</v>
      </c>
      <c r="Q18" s="95">
        <f t="shared" si="160"/>
        <v>5</v>
      </c>
      <c r="S18" s="98">
        <v>42.2</v>
      </c>
      <c r="T18" s="98">
        <v>2.75</v>
      </c>
      <c r="U18" s="98">
        <v>11.1</v>
      </c>
      <c r="V18" s="98">
        <v>13.1</v>
      </c>
      <c r="W18" s="98">
        <v>0.39</v>
      </c>
      <c r="X18" s="98">
        <v>13.55</v>
      </c>
      <c r="Y18" s="98">
        <v>11.07</v>
      </c>
      <c r="Z18" s="98">
        <v>2.27</v>
      </c>
      <c r="AA18" s="98">
        <v>0.95</v>
      </c>
      <c r="AB18" s="98">
        <v>0.01</v>
      </c>
      <c r="AD18" s="35">
        <f t="shared" si="1"/>
        <v>9.9278354322038709</v>
      </c>
      <c r="AE18" s="36"/>
      <c r="AF18" s="50">
        <f t="shared" si="2"/>
        <v>0.26931887434802015</v>
      </c>
      <c r="AG18" s="35">
        <f t="shared" si="3"/>
        <v>62.682265934371905</v>
      </c>
      <c r="AH18" s="35">
        <f t="shared" si="4"/>
        <v>5</v>
      </c>
      <c r="AI18" s="35">
        <f t="shared" si="5"/>
        <v>2.5996916434763193</v>
      </c>
      <c r="AJ18" s="35">
        <f t="shared" si="6"/>
        <v>5.3285403508030935</v>
      </c>
      <c r="AK18" s="36"/>
      <c r="AL18" s="37">
        <f t="shared" si="7"/>
        <v>935.43054369867843</v>
      </c>
      <c r="AM18" s="37">
        <f t="shared" si="8"/>
        <v>932.13845231975961</v>
      </c>
      <c r="AN18" s="37">
        <f t="shared" si="9"/>
        <v>938.9866371046835</v>
      </c>
      <c r="AO18" s="37">
        <f t="shared" si="153"/>
        <v>944.59970721725688</v>
      </c>
      <c r="AP18" s="37">
        <f t="shared" si="10"/>
        <v>960.4463360354996</v>
      </c>
      <c r="AQ18" s="37">
        <f t="shared" si="11"/>
        <v>943.82373265334229</v>
      </c>
      <c r="AR18" s="37">
        <f t="shared" si="12"/>
        <v>945.65867713683235</v>
      </c>
      <c r="AS18" s="37">
        <f t="shared" si="13"/>
        <v>950.92571398233486</v>
      </c>
      <c r="AT18"/>
      <c r="AU18" s="35">
        <f t="shared" si="154"/>
        <v>4.9277276519123268</v>
      </c>
      <c r="AV18"/>
      <c r="AW18" s="37">
        <f t="shared" si="14"/>
        <v>908.1391164741226</v>
      </c>
      <c r="AX18" s="37">
        <f t="shared" si="15"/>
        <v>938.35637348846967</v>
      </c>
      <c r="AY18" s="38"/>
      <c r="AZ18" s="50">
        <f t="shared" si="16"/>
        <v>-0.78623485915694036</v>
      </c>
      <c r="BA18" s="38"/>
      <c r="BB18" s="35">
        <f t="shared" si="17"/>
        <v>5.8924077076564529</v>
      </c>
      <c r="BC18" s="35">
        <f t="shared" si="18"/>
        <v>3.1529005320564245</v>
      </c>
      <c r="BD18" s="35">
        <f t="shared" si="19"/>
        <v>4.0500076330456407</v>
      </c>
      <c r="BE18" s="35">
        <f t="shared" si="20"/>
        <v>5.5776366988398456</v>
      </c>
      <c r="BF18" s="35">
        <f t="shared" si="21"/>
        <v>6.6258253411230141</v>
      </c>
      <c r="BG18" s="35">
        <f t="shared" si="22"/>
        <v>2.1785644980932108</v>
      </c>
      <c r="BH18" s="36"/>
      <c r="BI18" s="50">
        <f t="shared" si="155"/>
        <v>0.35163863042178523</v>
      </c>
      <c r="BJ18" s="50" t="str">
        <f t="shared" si="23"/>
        <v>NO</v>
      </c>
      <c r="BK18" s="35">
        <f t="shared" si="24"/>
        <v>5.8870549212953271</v>
      </c>
      <c r="BL18" s="35">
        <f t="shared" si="25"/>
        <v>4.8600940315874182</v>
      </c>
      <c r="BM18" s="35">
        <f t="shared" si="26"/>
        <v>4.6576040329265194</v>
      </c>
      <c r="BN18" s="35">
        <f t="shared" si="27"/>
        <v>6.2363796731820358</v>
      </c>
      <c r="BO18" s="35">
        <f t="shared" si="28"/>
        <v>4.7872847548865272</v>
      </c>
      <c r="BP18" s="35">
        <f t="shared" si="29"/>
        <v>-1.5064784477822846</v>
      </c>
      <c r="BQ18" s="35">
        <f t="shared" si="30"/>
        <v>6.2770549212953277</v>
      </c>
      <c r="BR18" s="35">
        <f t="shared" si="31"/>
        <v>6.2706324901323569</v>
      </c>
      <c r="BS18" s="23"/>
      <c r="BT18" s="23">
        <f t="shared" si="32"/>
        <v>1.0144699269641009</v>
      </c>
      <c r="BU18" s="23">
        <f t="shared" si="33"/>
        <v>7.8082354276207402E-3</v>
      </c>
      <c r="BV18" s="23">
        <f t="shared" si="34"/>
        <v>0.17094958718258171</v>
      </c>
      <c r="BW18" s="23">
        <f t="shared" si="35"/>
        <v>0</v>
      </c>
      <c r="BX18" s="23">
        <f t="shared" si="36"/>
        <v>8.4028762808369892E-2</v>
      </c>
      <c r="BY18" s="23">
        <f t="shared" si="37"/>
        <v>2.2167565075642474E-3</v>
      </c>
      <c r="BZ18" s="23">
        <f t="shared" si="38"/>
        <v>4.1726822171317707E-2</v>
      </c>
      <c r="CA18" s="23">
        <f t="shared" si="39"/>
        <v>0.10425183569287859</v>
      </c>
      <c r="CB18" s="23">
        <f t="shared" si="40"/>
        <v>6.1349505544508812E-2</v>
      </c>
      <c r="CC18" s="23">
        <f t="shared" si="41"/>
        <v>3.7083240593369378E-2</v>
      </c>
      <c r="CD18" s="23">
        <f t="shared" si="42"/>
        <v>2.2623353961226367E-3</v>
      </c>
      <c r="CE18" s="23">
        <f t="shared" si="43"/>
        <v>0.27756374528974326</v>
      </c>
      <c r="CF18" s="22">
        <f t="shared" si="44"/>
        <v>1.8037107535781776</v>
      </c>
      <c r="CG18" s="22">
        <f t="shared" si="156"/>
        <v>1.7977916770050169</v>
      </c>
      <c r="CH18" s="22">
        <f t="shared" si="157"/>
        <v>1.5261470082884343</v>
      </c>
      <c r="CI18" s="23">
        <f t="shared" si="45"/>
        <v>0.56243492752460944</v>
      </c>
      <c r="CJ18" s="23">
        <f t="shared" si="46"/>
        <v>4.3289842410324745E-3</v>
      </c>
      <c r="CK18" s="23">
        <f t="shared" si="47"/>
        <v>9.4776608080566233E-2</v>
      </c>
      <c r="CL18" s="23">
        <f t="shared" si="48"/>
        <v>0</v>
      </c>
      <c r="CM18" s="23">
        <f t="shared" si="49"/>
        <v>4.6586606329021847E-2</v>
      </c>
      <c r="CN18" s="23">
        <f t="shared" si="50"/>
        <v>1.2289977775908221E-3</v>
      </c>
      <c r="CO18" s="23">
        <f t="shared" si="51"/>
        <v>2.3133876697547313E-2</v>
      </c>
      <c r="CP18" s="23">
        <f t="shared" si="52"/>
        <v>5.7798533099647588E-2</v>
      </c>
      <c r="CQ18" s="23">
        <f t="shared" si="53"/>
        <v>3.4012939947718597E-2</v>
      </c>
      <c r="CR18" s="23">
        <f t="shared" si="54"/>
        <v>2.0559416480610396E-2</v>
      </c>
      <c r="CS18" s="23">
        <f t="shared" si="55"/>
        <v>1.2542672884965872E-3</v>
      </c>
      <c r="CT18" s="23">
        <f t="shared" si="56"/>
        <v>0.15388484253315893</v>
      </c>
      <c r="CU18" s="22">
        <f t="shared" si="57"/>
        <v>1</v>
      </c>
      <c r="CV18" s="22">
        <f t="shared" si="58"/>
        <v>0.84611515746684118</v>
      </c>
      <c r="CX18">
        <f t="shared" si="59"/>
        <v>0.56428669680690147</v>
      </c>
      <c r="CY18">
        <f t="shared" si="60"/>
        <v>4.3432370543781034E-3</v>
      </c>
      <c r="CZ18">
        <f t="shared" si="61"/>
        <v>0.19017730404378178</v>
      </c>
      <c r="DA18">
        <f t="shared" si="62"/>
        <v>0</v>
      </c>
      <c r="DB18">
        <f t="shared" si="63"/>
        <v>4.6739988777985318E-2</v>
      </c>
      <c r="DC18">
        <f t="shared" si="64"/>
        <v>1.2330441485062351E-3</v>
      </c>
      <c r="DD18">
        <f t="shared" si="65"/>
        <v>2.3210043023912202E-2</v>
      </c>
      <c r="DE18">
        <f t="shared" si="66"/>
        <v>5.7988829866291378E-2</v>
      </c>
      <c r="DF18">
        <f t="shared" si="67"/>
        <v>6.8249849333725229E-2</v>
      </c>
      <c r="DG18">
        <f t="shared" si="68"/>
        <v>4.1254213230252815E-2</v>
      </c>
      <c r="DH18">
        <f t="shared" si="69"/>
        <v>2.5167937142656195E-3</v>
      </c>
      <c r="DI18" s="22">
        <f t="shared" si="70"/>
        <v>1.0000000000000002</v>
      </c>
      <c r="DJ18" s="22">
        <f t="shared" si="71"/>
        <v>0.70234653644962164</v>
      </c>
      <c r="DK18" s="22">
        <f t="shared" si="72"/>
        <v>3.4427157143071756E-2</v>
      </c>
      <c r="DL18" s="22">
        <f t="shared" si="73"/>
        <v>0.10886515432371201</v>
      </c>
      <c r="DM18" s="22">
        <f t="shared" si="74"/>
        <v>6.579544721823429E-5</v>
      </c>
      <c r="DN18" s="22">
        <f t="shared" si="75"/>
        <v>0.18233342241225725</v>
      </c>
      <c r="DO18" s="22">
        <f t="shared" si="76"/>
        <v>5.4977973568281942E-3</v>
      </c>
      <c r="DP18" s="22">
        <f t="shared" si="77"/>
        <v>0.33619158206051947</v>
      </c>
      <c r="DQ18" s="22">
        <f t="shared" si="78"/>
        <v>0.19740572851095095</v>
      </c>
      <c r="DR18" s="22">
        <f t="shared" si="79"/>
        <v>3.6625367665447432E-2</v>
      </c>
      <c r="DS18" s="22">
        <f t="shared" si="80"/>
        <v>1.0085353942842584E-2</v>
      </c>
      <c r="DT18" s="22">
        <f t="shared" si="81"/>
        <v>1.6138438953124692</v>
      </c>
      <c r="DU18" s="22">
        <f t="shared" si="82"/>
        <v>0.70234653644962164</v>
      </c>
      <c r="DV18" s="22">
        <f t="shared" si="83"/>
        <v>3.4427157143071756E-2</v>
      </c>
      <c r="DW18" s="22">
        <f t="shared" si="84"/>
        <v>0.21773030864742401</v>
      </c>
      <c r="DX18" s="22">
        <f t="shared" si="85"/>
        <v>1.3159089443646858E-4</v>
      </c>
      <c r="DZ18" s="22">
        <f t="shared" si="86"/>
        <v>0.18233342241225725</v>
      </c>
      <c r="EA18" s="22">
        <f t="shared" si="87"/>
        <v>5.4977973568281942E-3</v>
      </c>
      <c r="EB18" s="22">
        <f t="shared" si="88"/>
        <v>0.33619158206051947</v>
      </c>
      <c r="EC18" s="22">
        <f t="shared" si="89"/>
        <v>0.19740572851095095</v>
      </c>
      <c r="ED18" s="22">
        <f t="shared" si="90"/>
        <v>7.3250735330894864E-2</v>
      </c>
      <c r="EE18" s="22">
        <f t="shared" si="91"/>
        <v>2.0170707885685167E-2</v>
      </c>
      <c r="EG18" s="22">
        <f t="shared" si="92"/>
        <v>1.4046930728992433</v>
      </c>
      <c r="EH18" s="22">
        <f t="shared" si="93"/>
        <v>6.8854314286143511E-2</v>
      </c>
      <c r="EI18" s="22">
        <f t="shared" si="94"/>
        <v>0.32659546297113601</v>
      </c>
      <c r="EJ18" s="22">
        <f t="shared" si="95"/>
        <v>1.9738634165470287E-4</v>
      </c>
      <c r="EL18" s="22">
        <f t="shared" si="96"/>
        <v>0.18233342241225725</v>
      </c>
      <c r="EM18" s="22">
        <f t="shared" si="97"/>
        <v>5.4977973568281942E-3</v>
      </c>
      <c r="EN18" s="22">
        <f t="shared" si="98"/>
        <v>0.33619158206051947</v>
      </c>
      <c r="EO18" s="22">
        <f t="shared" si="99"/>
        <v>0.19740572851095095</v>
      </c>
      <c r="EP18" s="22">
        <f t="shared" si="100"/>
        <v>3.6625367665447432E-2</v>
      </c>
      <c r="EQ18" s="22">
        <f t="shared" si="101"/>
        <v>1.0085353942842584E-2</v>
      </c>
      <c r="ER18" s="22">
        <f t="shared" si="102"/>
        <v>2.5684794884470237</v>
      </c>
      <c r="ES18" s="22">
        <f t="shared" si="103"/>
        <v>8.9547142982661931</v>
      </c>
      <c r="EU18" s="86">
        <f t="shared" si="104"/>
        <v>6.2893125722831646</v>
      </c>
      <c r="EV18" s="86">
        <f t="shared" si="105"/>
        <v>0.30828535631772175</v>
      </c>
      <c r="EW18" s="86">
        <f t="shared" si="106"/>
        <v>1.9497127080109993</v>
      </c>
      <c r="EX18" s="86">
        <f t="shared" si="107"/>
        <v>1.1783588639318824E-3</v>
      </c>
      <c r="EY18" s="86"/>
      <c r="EZ18" s="86">
        <f t="shared" si="108"/>
        <v>1.6327437047268496</v>
      </c>
      <c r="FA18" s="86">
        <f t="shared" si="109"/>
        <v>4.9231204600159513E-2</v>
      </c>
      <c r="FB18" s="86">
        <f t="shared" si="110"/>
        <v>3.0104995668340657</v>
      </c>
      <c r="FC18" s="86">
        <f t="shared" si="111"/>
        <v>1.7677118996566668</v>
      </c>
      <c r="FD18" s="86">
        <f t="shared" si="112"/>
        <v>0.65593940702607689</v>
      </c>
      <c r="FE18" s="86">
        <f t="shared" si="113"/>
        <v>0.18062292631009563</v>
      </c>
      <c r="FF18" s="22">
        <f t="shared" si="114"/>
        <v>15.00867537129356</v>
      </c>
      <c r="FG18" s="22">
        <f t="shared" si="115"/>
        <v>15.845237704629731</v>
      </c>
      <c r="FH18" s="22">
        <f t="shared" si="116"/>
        <v>13.240963471636892</v>
      </c>
      <c r="FI18" s="22" t="str">
        <f t="shared" si="117"/>
        <v>Good</v>
      </c>
      <c r="FJ18" s="22">
        <f t="shared" si="118"/>
        <v>127.35765076410188</v>
      </c>
      <c r="FK18" s="22">
        <f t="shared" si="158"/>
        <v>0.64836136957821477</v>
      </c>
      <c r="FL18" s="22">
        <f t="shared" si="119"/>
        <v>0.23366939296924588</v>
      </c>
      <c r="FM18" s="87"/>
      <c r="FN18" s="87">
        <f t="shared" si="120"/>
        <v>-11.849631214888445</v>
      </c>
      <c r="FO18" s="22">
        <f t="shared" si="121"/>
        <v>9.8402738967760153E-2</v>
      </c>
      <c r="FP18" s="88">
        <f t="shared" si="122"/>
        <v>0.13424608722098946</v>
      </c>
      <c r="FQ18" s="88">
        <f t="shared" si="123"/>
        <v>1.4984976175058602</v>
      </c>
      <c r="FR18" s="87">
        <f t="shared" si="124"/>
        <v>6.2893125722831646</v>
      </c>
      <c r="FS18" s="87">
        <f t="shared" si="125"/>
        <v>1.7106874277168354</v>
      </c>
      <c r="FT18" s="87">
        <f t="shared" si="126"/>
        <v>0</v>
      </c>
      <c r="FU18" s="86">
        <f t="shared" si="127"/>
        <v>8</v>
      </c>
      <c r="FV18" s="87">
        <f t="shared" si="128"/>
        <v>0.23902528029416392</v>
      </c>
      <c r="FW18" s="87">
        <f t="shared" si="129"/>
        <v>1.1783588639318824E-3</v>
      </c>
      <c r="FX18" s="87">
        <f t="shared" si="130"/>
        <v>0.13424608722098946</v>
      </c>
      <c r="FY18" s="87">
        <f t="shared" si="131"/>
        <v>0.30828535631772175</v>
      </c>
      <c r="FZ18" s="87">
        <f t="shared" si="132"/>
        <v>0.68273508269680705</v>
      </c>
      <c r="GA18" s="87">
        <f t="shared" si="133"/>
        <v>3.0104995668340657</v>
      </c>
      <c r="GB18" s="87">
        <f t="shared" si="134"/>
        <v>3.693234649530873</v>
      </c>
      <c r="GC18" s="87">
        <f t="shared" si="135"/>
        <v>1.306765350469127</v>
      </c>
      <c r="GD18" s="87">
        <f t="shared" si="136"/>
        <v>5</v>
      </c>
      <c r="GE18" s="87">
        <f t="shared" si="137"/>
        <v>0</v>
      </c>
      <c r="GF18" s="87">
        <f t="shared" si="138"/>
        <v>5</v>
      </c>
      <c r="GG18" s="86">
        <f t="shared" si="139"/>
        <v>0</v>
      </c>
      <c r="GH18" s="86">
        <f t="shared" si="140"/>
        <v>0.19173226703673318</v>
      </c>
      <c r="GI18" s="86">
        <f t="shared" si="141"/>
        <v>4.9231204600159513E-2</v>
      </c>
      <c r="GJ18" s="89">
        <f t="shared" si="142"/>
        <v>0.24096347163689269</v>
      </c>
      <c r="GK18" s="89">
        <f t="shared" si="143"/>
        <v>0.24096347163689269</v>
      </c>
      <c r="GL18" s="87">
        <f t="shared" si="144"/>
        <v>1.7590365283631073</v>
      </c>
      <c r="GM18" s="87">
        <f t="shared" si="145"/>
        <v>0</v>
      </c>
      <c r="GN18" s="89">
        <f t="shared" si="146"/>
        <v>2</v>
      </c>
      <c r="GO18" s="87"/>
      <c r="GP18" s="86" t="str">
        <f t="shared" si="159"/>
        <v>CALCIC</v>
      </c>
      <c r="GQ18" s="87"/>
      <c r="GR18" s="87">
        <f t="shared" si="147"/>
        <v>0.65593940702607689</v>
      </c>
      <c r="GS18" s="87">
        <f t="shared" si="148"/>
        <v>0.18062292631009563</v>
      </c>
      <c r="GT18" s="87">
        <f t="shared" si="149"/>
        <v>0.83656233333617247</v>
      </c>
      <c r="GU18" s="86">
        <f t="shared" si="150"/>
        <v>0</v>
      </c>
      <c r="GV18" s="86">
        <f t="shared" si="151"/>
        <v>0.65593940702607689</v>
      </c>
    </row>
    <row r="19" spans="1:204" s="22" customFormat="1" ht="18" customHeight="1" x14ac:dyDescent="0.35">
      <c r="A19" s="97">
        <v>10111123</v>
      </c>
      <c r="B19" s="97" t="s">
        <v>161</v>
      </c>
      <c r="C19" s="36">
        <f t="shared" si="0"/>
        <v>929.39567964168953</v>
      </c>
      <c r="D19" s="36">
        <f t="shared" si="152"/>
        <v>2.2991664986246541</v>
      </c>
      <c r="F19" s="95">
        <v>60.188393597676495</v>
      </c>
      <c r="G19" s="95">
        <v>0.64118283088230787</v>
      </c>
      <c r="H19" s="95">
        <v>17.663178469390271</v>
      </c>
      <c r="I19" s="95">
        <v>6.2943074013660478</v>
      </c>
      <c r="J19" s="95">
        <v>0.16278885933388548</v>
      </c>
      <c r="K19" s="95">
        <v>1.7872776377837198</v>
      </c>
      <c r="L19" s="95">
        <v>6.2093368050050008</v>
      </c>
      <c r="M19" s="95">
        <v>3.8039787957121867</v>
      </c>
      <c r="N19" s="95">
        <v>3.2983333878965184</v>
      </c>
      <c r="O19" s="95">
        <v>0</v>
      </c>
      <c r="P19" s="95">
        <v>0.32118860409780237</v>
      </c>
      <c r="Q19" s="95">
        <f t="shared" si="160"/>
        <v>5</v>
      </c>
      <c r="S19" s="98">
        <v>40.369999999999997</v>
      </c>
      <c r="T19" s="98">
        <v>2.2799999999999998</v>
      </c>
      <c r="U19" s="98">
        <v>10.06</v>
      </c>
      <c r="V19" s="98">
        <v>11.76</v>
      </c>
      <c r="W19" s="98">
        <v>0.19</v>
      </c>
      <c r="X19" s="98">
        <v>12.41</v>
      </c>
      <c r="Y19" s="98">
        <v>10.4</v>
      </c>
      <c r="Z19" s="98">
        <v>2.09</v>
      </c>
      <c r="AA19" s="98">
        <v>0.82</v>
      </c>
      <c r="AB19" s="98">
        <v>0</v>
      </c>
      <c r="AD19" s="35">
        <f t="shared" si="1"/>
        <v>9.5210957586831082</v>
      </c>
      <c r="AE19" s="36"/>
      <c r="AF19" s="50">
        <f t="shared" si="2"/>
        <v>0.26907888080498965</v>
      </c>
      <c r="AG19" s="35">
        <f t="shared" si="3"/>
        <v>64.774797714210138</v>
      </c>
      <c r="AH19" s="35">
        <f t="shared" si="4"/>
        <v>4.5999999999999996</v>
      </c>
      <c r="AI19" s="35">
        <f t="shared" si="5"/>
        <v>2.2991664986246541</v>
      </c>
      <c r="AJ19" s="35">
        <f t="shared" si="6"/>
        <v>4.7348234216138039</v>
      </c>
      <c r="AK19" s="36"/>
      <c r="AL19" s="37">
        <f t="shared" si="7"/>
        <v>914.6345629403919</v>
      </c>
      <c r="AM19" s="37">
        <f t="shared" si="8"/>
        <v>912.33651805377622</v>
      </c>
      <c r="AN19" s="37">
        <f t="shared" si="9"/>
        <v>911.82051494761981</v>
      </c>
      <c r="AO19" s="37">
        <f t="shared" si="153"/>
        <v>945.7315670336418</v>
      </c>
      <c r="AP19" s="37">
        <f t="shared" si="10"/>
        <v>959.95762460287381</v>
      </c>
      <c r="AQ19" s="37">
        <f t="shared" si="11"/>
        <v>946.79286922803374</v>
      </c>
      <c r="AR19" s="37">
        <f t="shared" si="12"/>
        <v>917.03663413618767</v>
      </c>
      <c r="AS19" s="37">
        <f t="shared" si="13"/>
        <v>926.85514619099138</v>
      </c>
      <c r="AT19"/>
      <c r="AU19" s="35">
        <f t="shared" si="154"/>
        <v>4.6874472117761048</v>
      </c>
      <c r="AV19"/>
      <c r="AW19" s="37">
        <f t="shared" si="14"/>
        <v>909.46512191774957</v>
      </c>
      <c r="AX19" s="37">
        <f t="shared" si="15"/>
        <v>940.95641848481421</v>
      </c>
      <c r="AY19" s="38"/>
      <c r="AZ19" s="50">
        <f t="shared" si="16"/>
        <v>-0.79298474117017526</v>
      </c>
      <c r="BA19" s="38"/>
      <c r="BB19" s="35">
        <f t="shared" si="17"/>
        <v>3.9445176325562681</v>
      </c>
      <c r="BC19" s="35">
        <f t="shared" si="18"/>
        <v>2.7199578441304362</v>
      </c>
      <c r="BD19" s="35">
        <f t="shared" si="19"/>
        <v>3.1624069266896631</v>
      </c>
      <c r="BE19" s="35">
        <f t="shared" si="20"/>
        <v>4.8535854145396682</v>
      </c>
      <c r="BF19" s="35">
        <f t="shared" si="21"/>
        <v>7.6826413407739267</v>
      </c>
      <c r="BG19" s="35">
        <f t="shared" si="22"/>
        <v>2.0517580449853972</v>
      </c>
      <c r="BH19" s="36"/>
      <c r="BI19" s="50">
        <f t="shared" si="155"/>
        <v>0.34708697749226658</v>
      </c>
      <c r="BJ19" s="50" t="str">
        <f t="shared" si="23"/>
        <v>NO</v>
      </c>
      <c r="BK19" s="35">
        <f t="shared" si="24"/>
        <v>5.5960594394030547</v>
      </c>
      <c r="BL19" s="35">
        <f t="shared" si="25"/>
        <v>4.574576920939017</v>
      </c>
      <c r="BM19" s="35">
        <f t="shared" si="26"/>
        <v>4.2754109348138858</v>
      </c>
      <c r="BN19" s="35">
        <f t="shared" si="27"/>
        <v>5.9100944807620728</v>
      </c>
      <c r="BO19" s="35">
        <f t="shared" si="28"/>
        <v>4.5425708605715558</v>
      </c>
      <c r="BP19" s="35">
        <f t="shared" si="29"/>
        <v>-1.0364098711248824</v>
      </c>
      <c r="BQ19" s="35">
        <f t="shared" si="30"/>
        <v>5.9860594394030553</v>
      </c>
      <c r="BR19" s="35">
        <f t="shared" si="31"/>
        <v>5.995257044047424</v>
      </c>
      <c r="BS19" s="23"/>
      <c r="BT19" s="23">
        <f t="shared" si="32"/>
        <v>1.001732459189447</v>
      </c>
      <c r="BU19" s="23">
        <f t="shared" si="33"/>
        <v>8.0269462095362964E-3</v>
      </c>
      <c r="BV19" s="23">
        <f t="shared" si="34"/>
        <v>0.17323465314571523</v>
      </c>
      <c r="BW19" s="23">
        <f t="shared" si="35"/>
        <v>0</v>
      </c>
      <c r="BX19" s="23">
        <f t="shared" si="36"/>
        <v>8.7607832840142966E-2</v>
      </c>
      <c r="BY19" s="23">
        <f t="shared" si="37"/>
        <v>2.2948209245305441E-3</v>
      </c>
      <c r="BZ19" s="23">
        <f t="shared" si="38"/>
        <v>4.4344479455933339E-2</v>
      </c>
      <c r="CA19" s="23">
        <f t="shared" si="39"/>
        <v>0.11072797249881416</v>
      </c>
      <c r="CB19" s="23">
        <f t="shared" si="40"/>
        <v>6.1375384134151889E-2</v>
      </c>
      <c r="CC19" s="23">
        <f t="shared" si="41"/>
        <v>3.5015641724664724E-2</v>
      </c>
      <c r="CD19" s="23">
        <f t="shared" si="42"/>
        <v>2.2628955388503515E-3</v>
      </c>
      <c r="CE19" s="23">
        <f t="shared" si="43"/>
        <v>0.27756374528974326</v>
      </c>
      <c r="CF19" s="22">
        <f t="shared" si="44"/>
        <v>1.8041868309515301</v>
      </c>
      <c r="CG19" s="22">
        <f t="shared" si="156"/>
        <v>1.7985116602051687</v>
      </c>
      <c r="CH19" s="22">
        <f t="shared" si="157"/>
        <v>1.5266230856617868</v>
      </c>
      <c r="CI19" s="23">
        <f t="shared" si="45"/>
        <v>0.55522656634242928</v>
      </c>
      <c r="CJ19" s="23">
        <f t="shared" si="46"/>
        <v>4.449065956934669E-3</v>
      </c>
      <c r="CK19" s="23">
        <f t="shared" si="47"/>
        <v>9.6018134138774913E-2</v>
      </c>
      <c r="CL19" s="23">
        <f t="shared" si="48"/>
        <v>0</v>
      </c>
      <c r="CM19" s="23">
        <f t="shared" si="49"/>
        <v>4.8558071335626868E-2</v>
      </c>
      <c r="CN19" s="23">
        <f t="shared" si="50"/>
        <v>1.2719419547698688E-3</v>
      </c>
      <c r="CO19" s="23">
        <f t="shared" si="51"/>
        <v>2.4578651553811649E-2</v>
      </c>
      <c r="CP19" s="23">
        <f t="shared" si="52"/>
        <v>6.1372786121277757E-2</v>
      </c>
      <c r="CQ19" s="23">
        <f t="shared" si="53"/>
        <v>3.4018308459652397E-2</v>
      </c>
      <c r="CR19" s="23">
        <f t="shared" si="54"/>
        <v>1.9407990970756302E-2</v>
      </c>
      <c r="CS19" s="23">
        <f t="shared" si="55"/>
        <v>1.2542467886526463E-3</v>
      </c>
      <c r="CT19" s="23">
        <f t="shared" si="56"/>
        <v>0.15384423637731345</v>
      </c>
      <c r="CU19" s="22">
        <f t="shared" si="57"/>
        <v>0.99999999999999967</v>
      </c>
      <c r="CV19" s="22">
        <f t="shared" si="58"/>
        <v>0.84615576362268619</v>
      </c>
      <c r="CX19">
        <f t="shared" si="59"/>
        <v>0.55697857364748604</v>
      </c>
      <c r="CY19">
        <f t="shared" si="60"/>
        <v>4.4631049034292089E-3</v>
      </c>
      <c r="CZ19">
        <f t="shared" si="61"/>
        <v>0.19264223522015214</v>
      </c>
      <c r="DA19">
        <f t="shared" si="62"/>
        <v>0</v>
      </c>
      <c r="DB19">
        <f t="shared" si="63"/>
        <v>4.8711295444227996E-2</v>
      </c>
      <c r="DC19">
        <f t="shared" si="64"/>
        <v>1.2759555444131832E-3</v>
      </c>
      <c r="DD19">
        <f t="shared" si="65"/>
        <v>2.4656209040576728E-2</v>
      </c>
      <c r="DE19">
        <f t="shared" si="66"/>
        <v>6.15664468286976E-2</v>
      </c>
      <c r="DF19">
        <f t="shared" si="67"/>
        <v>6.8251305223287095E-2</v>
      </c>
      <c r="DG19">
        <f t="shared" si="68"/>
        <v>3.893846506468604E-2</v>
      </c>
      <c r="DH19">
        <f t="shared" si="69"/>
        <v>2.5164090830439288E-3</v>
      </c>
      <c r="DI19" s="22">
        <f t="shared" si="70"/>
        <v>0.99999999999999989</v>
      </c>
      <c r="DJ19" s="22">
        <f t="shared" si="71"/>
        <v>0.67188932882633234</v>
      </c>
      <c r="DK19" s="22">
        <f t="shared" si="72"/>
        <v>2.8543243013164944E-2</v>
      </c>
      <c r="DL19" s="22">
        <f t="shared" si="73"/>
        <v>9.8665175900589444E-2</v>
      </c>
      <c r="DM19" s="22">
        <f t="shared" si="74"/>
        <v>0</v>
      </c>
      <c r="DN19" s="22">
        <f t="shared" si="75"/>
        <v>0.16368252271512559</v>
      </c>
      <c r="DO19" s="22">
        <f t="shared" si="76"/>
        <v>2.6784140969162997E-3</v>
      </c>
      <c r="DP19" s="22">
        <f t="shared" si="77"/>
        <v>0.30790682903107353</v>
      </c>
      <c r="DQ19" s="22">
        <f t="shared" si="78"/>
        <v>0.18545795632465131</v>
      </c>
      <c r="DR19" s="22">
        <f t="shared" si="79"/>
        <v>3.3721153489332654E-2</v>
      </c>
      <c r="DS19" s="22">
        <f t="shared" si="80"/>
        <v>8.7052528769799142E-3</v>
      </c>
      <c r="DT19" s="22">
        <f t="shared" si="81"/>
        <v>1.501249876274166</v>
      </c>
      <c r="DU19" s="22">
        <f t="shared" si="82"/>
        <v>0.67188932882633234</v>
      </c>
      <c r="DV19" s="22">
        <f t="shared" si="83"/>
        <v>2.8543243013164944E-2</v>
      </c>
      <c r="DW19" s="22">
        <f t="shared" si="84"/>
        <v>0.19733035180117889</v>
      </c>
      <c r="DX19" s="22">
        <f t="shared" si="85"/>
        <v>0</v>
      </c>
      <c r="DZ19" s="22">
        <f t="shared" si="86"/>
        <v>0.16368252271512559</v>
      </c>
      <c r="EA19" s="22">
        <f t="shared" si="87"/>
        <v>2.6784140969162997E-3</v>
      </c>
      <c r="EB19" s="22">
        <f t="shared" si="88"/>
        <v>0.30790682903107353</v>
      </c>
      <c r="EC19" s="22">
        <f t="shared" si="89"/>
        <v>0.18545795632465131</v>
      </c>
      <c r="ED19" s="22">
        <f t="shared" si="90"/>
        <v>6.7442306978665309E-2</v>
      </c>
      <c r="EE19" s="22">
        <f t="shared" si="91"/>
        <v>1.7410505753959828E-2</v>
      </c>
      <c r="EG19" s="22">
        <f t="shared" si="92"/>
        <v>1.3437786576526647</v>
      </c>
      <c r="EH19" s="22">
        <f t="shared" si="93"/>
        <v>5.7086486026329888E-2</v>
      </c>
      <c r="EI19" s="22">
        <f t="shared" si="94"/>
        <v>0.29599552770176835</v>
      </c>
      <c r="EJ19" s="22">
        <f t="shared" si="95"/>
        <v>0</v>
      </c>
      <c r="EL19" s="22">
        <f t="shared" si="96"/>
        <v>0.16368252271512559</v>
      </c>
      <c r="EM19" s="22">
        <f t="shared" si="97"/>
        <v>2.6784140969162997E-3</v>
      </c>
      <c r="EN19" s="22">
        <f t="shared" si="98"/>
        <v>0.30790682903107353</v>
      </c>
      <c r="EO19" s="22">
        <f t="shared" si="99"/>
        <v>0.18545795632465131</v>
      </c>
      <c r="EP19" s="22">
        <f t="shared" si="100"/>
        <v>3.3721153489332654E-2</v>
      </c>
      <c r="EQ19" s="22">
        <f t="shared" si="101"/>
        <v>8.7052528769799142E-3</v>
      </c>
      <c r="ER19" s="22">
        <f t="shared" si="102"/>
        <v>2.3990127999148418</v>
      </c>
      <c r="ES19" s="22">
        <f t="shared" si="103"/>
        <v>9.5872769002384786</v>
      </c>
      <c r="EU19" s="86">
        <f t="shared" si="104"/>
        <v>6.4415890417734314</v>
      </c>
      <c r="EV19" s="86">
        <f t="shared" si="105"/>
        <v>0.27365197439800959</v>
      </c>
      <c r="EW19" s="86">
        <f t="shared" si="106"/>
        <v>1.8918607235393747</v>
      </c>
      <c r="EX19" s="86">
        <f t="shared" si="107"/>
        <v>0</v>
      </c>
      <c r="EY19" s="86"/>
      <c r="EZ19" s="86">
        <f t="shared" si="108"/>
        <v>1.5692696689994836</v>
      </c>
      <c r="FA19" s="86">
        <f t="shared" si="109"/>
        <v>2.5678697600638744E-2</v>
      </c>
      <c r="FB19" s="86">
        <f t="shared" si="110"/>
        <v>2.9519880293952898</v>
      </c>
      <c r="FC19" s="86">
        <f t="shared" si="111"/>
        <v>1.7780367806367663</v>
      </c>
      <c r="FD19" s="86">
        <f t="shared" si="112"/>
        <v>0.64658807179535027</v>
      </c>
      <c r="FE19" s="86">
        <f t="shared" si="113"/>
        <v>0.16691933963640818</v>
      </c>
      <c r="FF19" s="22">
        <f t="shared" si="114"/>
        <v>14.932074916342994</v>
      </c>
      <c r="FG19" s="22">
        <f t="shared" si="115"/>
        <v>15.745582327774752</v>
      </c>
      <c r="FH19" s="22">
        <f t="shared" si="116"/>
        <v>13.154038135706228</v>
      </c>
      <c r="FI19" s="22" t="str">
        <f t="shared" si="117"/>
        <v>Good</v>
      </c>
      <c r="FJ19" s="22">
        <f t="shared" si="118"/>
        <v>118.32391868312556</v>
      </c>
      <c r="FK19" s="22">
        <f t="shared" si="158"/>
        <v>0.65291302250773342</v>
      </c>
      <c r="FL19" s="22">
        <f t="shared" si="119"/>
        <v>0.24218860792829552</v>
      </c>
      <c r="FM19" s="87"/>
      <c r="FN19" s="87">
        <f t="shared" si="120"/>
        <v>-12.220187680025937</v>
      </c>
      <c r="FO19" s="22">
        <f t="shared" si="121"/>
        <v>9.6179098533977977E-2</v>
      </c>
      <c r="FP19" s="88">
        <f t="shared" si="122"/>
        <v>0.12658187991849093</v>
      </c>
      <c r="FQ19" s="88">
        <f t="shared" si="123"/>
        <v>1.4426877890809926</v>
      </c>
      <c r="FR19" s="87">
        <f t="shared" si="124"/>
        <v>6.4415890417734314</v>
      </c>
      <c r="FS19" s="87">
        <f t="shared" si="125"/>
        <v>1.5584109582265686</v>
      </c>
      <c r="FT19" s="87">
        <f t="shared" si="126"/>
        <v>0</v>
      </c>
      <c r="FU19" s="86">
        <f t="shared" si="127"/>
        <v>8</v>
      </c>
      <c r="FV19" s="87">
        <f t="shared" si="128"/>
        <v>0.33344976531280612</v>
      </c>
      <c r="FW19" s="87">
        <f t="shared" si="129"/>
        <v>0</v>
      </c>
      <c r="FX19" s="87">
        <f t="shared" si="130"/>
        <v>0.12658187991849093</v>
      </c>
      <c r="FY19" s="87">
        <f t="shared" si="131"/>
        <v>0.27365197439800959</v>
      </c>
      <c r="FZ19" s="87">
        <f t="shared" si="132"/>
        <v>0.73368361962930662</v>
      </c>
      <c r="GA19" s="87">
        <f t="shared" si="133"/>
        <v>2.9519880293952898</v>
      </c>
      <c r="GB19" s="87">
        <f t="shared" si="134"/>
        <v>3.6856716490245964</v>
      </c>
      <c r="GC19" s="87">
        <f t="shared" si="135"/>
        <v>1.3143283509754036</v>
      </c>
      <c r="GD19" s="87">
        <f t="shared" si="136"/>
        <v>5</v>
      </c>
      <c r="GE19" s="87">
        <f t="shared" si="137"/>
        <v>0</v>
      </c>
      <c r="GF19" s="87">
        <f t="shared" si="138"/>
        <v>5</v>
      </c>
      <c r="GG19" s="86">
        <f t="shared" si="139"/>
        <v>0</v>
      </c>
      <c r="GH19" s="86">
        <f t="shared" si="140"/>
        <v>0.12835943810558903</v>
      </c>
      <c r="GI19" s="86">
        <f t="shared" si="141"/>
        <v>2.5678697600638744E-2</v>
      </c>
      <c r="GJ19" s="89">
        <f t="shared" si="142"/>
        <v>0.15403813570622776</v>
      </c>
      <c r="GK19" s="89">
        <f t="shared" si="143"/>
        <v>0.15403813570622776</v>
      </c>
      <c r="GL19" s="87">
        <f t="shared" si="144"/>
        <v>1.7780367806367663</v>
      </c>
      <c r="GM19" s="87">
        <f t="shared" si="145"/>
        <v>6.7925083657006002E-2</v>
      </c>
      <c r="GN19" s="89">
        <f t="shared" si="146"/>
        <v>2</v>
      </c>
      <c r="GO19" s="87"/>
      <c r="GP19" s="86" t="str">
        <f t="shared" si="159"/>
        <v>CALCIC</v>
      </c>
      <c r="GQ19" s="87"/>
      <c r="GR19" s="87">
        <f t="shared" si="147"/>
        <v>0.57866298813834427</v>
      </c>
      <c r="GS19" s="87">
        <f t="shared" si="148"/>
        <v>0.16691933963640818</v>
      </c>
      <c r="GT19" s="87">
        <f t="shared" si="149"/>
        <v>0.74558232777475242</v>
      </c>
      <c r="GU19" s="86">
        <f t="shared" si="150"/>
        <v>0</v>
      </c>
      <c r="GV19" s="86">
        <f t="shared" si="151"/>
        <v>0.64658807179535027</v>
      </c>
    </row>
    <row r="20" spans="1:204" s="22" customFormat="1" ht="18" customHeight="1" x14ac:dyDescent="0.35">
      <c r="A20" s="97">
        <v>10110511</v>
      </c>
      <c r="B20" s="97" t="s">
        <v>161</v>
      </c>
      <c r="C20" s="36">
        <f t="shared" si="0"/>
        <v>957.49582461126863</v>
      </c>
      <c r="D20" s="36">
        <f t="shared" si="152"/>
        <v>3.065127599671591</v>
      </c>
      <c r="F20" s="95">
        <v>63.785726270105506</v>
      </c>
      <c r="G20" s="95">
        <v>0.55906485741141265</v>
      </c>
      <c r="H20" s="95">
        <v>16.568039266795928</v>
      </c>
      <c r="I20" s="95">
        <v>5.0856263707909735</v>
      </c>
      <c r="J20" s="95">
        <v>0.13675937902118779</v>
      </c>
      <c r="K20" s="95">
        <v>1.2913689182931789</v>
      </c>
      <c r="L20" s="95">
        <v>4.5023098376816417</v>
      </c>
      <c r="M20" s="95">
        <v>3.7964396703282342</v>
      </c>
      <c r="N20" s="95">
        <v>4.2137846861349795</v>
      </c>
      <c r="O20" s="95">
        <v>0</v>
      </c>
      <c r="P20" s="95">
        <v>0.32081489745161507</v>
      </c>
      <c r="Q20" s="95">
        <f t="shared" si="160"/>
        <v>5</v>
      </c>
      <c r="S20" s="98">
        <v>43.4</v>
      </c>
      <c r="T20" s="98">
        <v>3.39</v>
      </c>
      <c r="U20" s="98">
        <v>12.15</v>
      </c>
      <c r="V20" s="98">
        <v>15.28</v>
      </c>
      <c r="W20" s="98">
        <v>0.67</v>
      </c>
      <c r="X20" s="98">
        <v>14.38</v>
      </c>
      <c r="Y20" s="98">
        <v>11.55</v>
      </c>
      <c r="Z20" s="98">
        <v>2.48</v>
      </c>
      <c r="AA20" s="98">
        <v>1.1399999999999999</v>
      </c>
      <c r="AB20" s="98">
        <v>0.22</v>
      </c>
      <c r="AD20" s="35">
        <f t="shared" si="1"/>
        <v>10.653386430970329</v>
      </c>
      <c r="AE20" s="36"/>
      <c r="AF20" s="50">
        <f t="shared" si="2"/>
        <v>0.26981764477866349</v>
      </c>
      <c r="AG20" s="35">
        <f t="shared" si="3"/>
        <v>60.056929592101881</v>
      </c>
      <c r="AH20" s="35">
        <f t="shared" si="4"/>
        <v>5.7</v>
      </c>
      <c r="AI20" s="35">
        <f t="shared" si="5"/>
        <v>3.065127599671591</v>
      </c>
      <c r="AJ20" s="35">
        <f t="shared" si="6"/>
        <v>6.4367717024481585</v>
      </c>
      <c r="AK20" s="36"/>
      <c r="AL20" s="37">
        <f t="shared" si="7"/>
        <v>958.5507702281169</v>
      </c>
      <c r="AM20" s="37">
        <f t="shared" si="8"/>
        <v>954.15003280009159</v>
      </c>
      <c r="AN20" s="37">
        <f t="shared" si="9"/>
        <v>974.69006427103523</v>
      </c>
      <c r="AO20" s="37">
        <f t="shared" si="153"/>
        <v>937.81313753855932</v>
      </c>
      <c r="AP20" s="37">
        <f t="shared" si="10"/>
        <v>956.90158417482417</v>
      </c>
      <c r="AQ20" s="37">
        <f t="shared" si="11"/>
        <v>922.6339351799478</v>
      </c>
      <c r="AR20" s="37">
        <f t="shared" si="12"/>
        <v>979.54812269413753</v>
      </c>
      <c r="AS20" s="37">
        <f t="shared" si="13"/>
        <v>975.6789500034364</v>
      </c>
      <c r="AT20"/>
      <c r="AU20" s="35">
        <f t="shared" si="154"/>
        <v>5.1813287534769064</v>
      </c>
      <c r="AV20"/>
      <c r="AW20" s="37">
        <f t="shared" si="14"/>
        <v>908.56357947871163</v>
      </c>
      <c r="AX20" s="37">
        <f t="shared" si="15"/>
        <v>928.08274462956979</v>
      </c>
      <c r="AY20" s="38"/>
      <c r="AZ20" s="50">
        <f t="shared" si="16"/>
        <v>-0.88152781827828275</v>
      </c>
      <c r="BA20" s="38"/>
      <c r="BB20" s="35">
        <f t="shared" si="17"/>
        <v>12.046490109337981</v>
      </c>
      <c r="BC20" s="35">
        <f t="shared" si="18"/>
        <v>3.8976623937641102</v>
      </c>
      <c r="BD20" s="35">
        <f t="shared" si="19"/>
        <v>5.486058514300872</v>
      </c>
      <c r="BE20" s="35">
        <f t="shared" si="20"/>
        <v>7.0132476797888561</v>
      </c>
      <c r="BF20" s="35">
        <f t="shared" si="21"/>
        <v>5.5904568985434615</v>
      </c>
      <c r="BG20" s="35">
        <f t="shared" si="22"/>
        <v>2.3117549658795804</v>
      </c>
      <c r="BH20" s="36"/>
      <c r="BI20" s="50">
        <f t="shared" si="155"/>
        <v>0.37346895801848845</v>
      </c>
      <c r="BJ20" s="50" t="str">
        <f t="shared" si="23"/>
        <v>NO</v>
      </c>
      <c r="BK20" s="35">
        <f t="shared" si="24"/>
        <v>6.1857918896352011</v>
      </c>
      <c r="BL20" s="35">
        <f t="shared" si="25"/>
        <v>5.1622433736857518</v>
      </c>
      <c r="BM20" s="35">
        <f t="shared" si="26"/>
        <v>5.0855333453971356</v>
      </c>
      <c r="BN20" s="35">
        <f t="shared" si="27"/>
        <v>6.5713451804259506</v>
      </c>
      <c r="BO20" s="35">
        <f t="shared" si="28"/>
        <v>5.0385088853194651</v>
      </c>
      <c r="BP20" s="35">
        <f t="shared" si="29"/>
        <v>-1.9559650921273413</v>
      </c>
      <c r="BQ20" s="35">
        <f t="shared" si="30"/>
        <v>6.5757918896352017</v>
      </c>
      <c r="BR20" s="35">
        <f t="shared" si="31"/>
        <v>6.5533338756786392</v>
      </c>
      <c r="BS20" s="23"/>
      <c r="BT20" s="23">
        <f t="shared" si="32"/>
        <v>1.0616038843775413</v>
      </c>
      <c r="BU20" s="23">
        <f t="shared" si="33"/>
        <v>6.998914072462439E-3</v>
      </c>
      <c r="BV20" s="23">
        <f t="shared" si="34"/>
        <v>0.16249388753342875</v>
      </c>
      <c r="BW20" s="23">
        <f t="shared" si="35"/>
        <v>0</v>
      </c>
      <c r="BX20" s="23">
        <f t="shared" si="36"/>
        <v>7.0784706969186678E-2</v>
      </c>
      <c r="BY20" s="23">
        <f t="shared" si="37"/>
        <v>1.9278855192414138E-3</v>
      </c>
      <c r="BZ20" s="23">
        <f t="shared" si="38"/>
        <v>3.2040395547215161E-2</v>
      </c>
      <c r="CA20" s="23">
        <f t="shared" si="39"/>
        <v>8.0287421272770165E-2</v>
      </c>
      <c r="CB20" s="23">
        <f t="shared" si="40"/>
        <v>6.1253743940731992E-2</v>
      </c>
      <c r="CC20" s="23">
        <f t="shared" si="41"/>
        <v>4.4734221051159068E-2</v>
      </c>
      <c r="CD20" s="23">
        <f t="shared" si="42"/>
        <v>2.2602626337855179E-3</v>
      </c>
      <c r="CE20" s="23">
        <f t="shared" si="43"/>
        <v>0.27756374528974326</v>
      </c>
      <c r="CF20" s="22">
        <f t="shared" si="44"/>
        <v>1.8019490682072656</v>
      </c>
      <c r="CG20" s="22">
        <f t="shared" si="156"/>
        <v>1.7951274380766282</v>
      </c>
      <c r="CH20" s="22">
        <f t="shared" si="157"/>
        <v>1.5243853229175224</v>
      </c>
      <c r="CI20" s="23">
        <f t="shared" si="45"/>
        <v>0.58914200357156399</v>
      </c>
      <c r="CJ20" s="23">
        <f t="shared" si="46"/>
        <v>3.8840798532810712E-3</v>
      </c>
      <c r="CK20" s="23">
        <f t="shared" si="47"/>
        <v>9.0176737178865818E-2</v>
      </c>
      <c r="CL20" s="23">
        <f t="shared" si="48"/>
        <v>0</v>
      </c>
      <c r="CM20" s="23">
        <f t="shared" si="49"/>
        <v>3.9282301713227337E-2</v>
      </c>
      <c r="CN20" s="23">
        <f t="shared" si="50"/>
        <v>1.0698890180949679E-3</v>
      </c>
      <c r="CO20" s="23">
        <f t="shared" si="51"/>
        <v>1.7780966239568419E-2</v>
      </c>
      <c r="CP20" s="23">
        <f t="shared" si="52"/>
        <v>4.4555877127341353E-2</v>
      </c>
      <c r="CQ20" s="23">
        <f t="shared" si="53"/>
        <v>3.3993049538116243E-2</v>
      </c>
      <c r="CR20" s="23">
        <f t="shared" si="54"/>
        <v>2.4825463627373513E-2</v>
      </c>
      <c r="CS20" s="23">
        <f t="shared" si="55"/>
        <v>1.2543432406967097E-3</v>
      </c>
      <c r="CT20" s="23">
        <f t="shared" si="56"/>
        <v>0.15403528889187063</v>
      </c>
      <c r="CU20" s="22">
        <f t="shared" si="57"/>
        <v>1</v>
      </c>
      <c r="CV20" s="22">
        <f t="shared" si="58"/>
        <v>0.84596471110812932</v>
      </c>
      <c r="CX20">
        <f t="shared" si="59"/>
        <v>0.59138079105681007</v>
      </c>
      <c r="CY20">
        <f t="shared" si="60"/>
        <v>3.8988396723306494E-3</v>
      </c>
      <c r="CZ20">
        <f t="shared" si="61"/>
        <v>0.18103883221520053</v>
      </c>
      <c r="DA20">
        <f t="shared" si="62"/>
        <v>0</v>
      </c>
      <c r="DB20">
        <f t="shared" si="63"/>
        <v>3.9431577651683751E-2</v>
      </c>
      <c r="DC20">
        <f t="shared" si="64"/>
        <v>1.0739546832992692E-3</v>
      </c>
      <c r="DD20">
        <f t="shared" si="65"/>
        <v>1.7848535356099583E-2</v>
      </c>
      <c r="DE20">
        <f t="shared" si="66"/>
        <v>4.4725193080884185E-2</v>
      </c>
      <c r="DF20">
        <f t="shared" si="67"/>
        <v>6.8244451777041207E-2</v>
      </c>
      <c r="DG20">
        <f t="shared" si="68"/>
        <v>4.9839604812780436E-2</v>
      </c>
      <c r="DH20">
        <f t="shared" si="69"/>
        <v>2.5182196938700399E-3</v>
      </c>
      <c r="DI20" s="22">
        <f t="shared" si="70"/>
        <v>0.99999999999999956</v>
      </c>
      <c r="DJ20" s="22">
        <f t="shared" si="71"/>
        <v>0.7223184758747293</v>
      </c>
      <c r="DK20" s="22">
        <f t="shared" si="72"/>
        <v>4.2439295532732089E-2</v>
      </c>
      <c r="DL20" s="22">
        <f t="shared" si="73"/>
        <v>0.11916320946244152</v>
      </c>
      <c r="DM20" s="22">
        <f t="shared" si="74"/>
        <v>1.4474998388011543E-3</v>
      </c>
      <c r="DN20" s="22">
        <f t="shared" si="75"/>
        <v>0.212675930874755</v>
      </c>
      <c r="DO20" s="22">
        <f t="shared" si="76"/>
        <v>9.4449339207048465E-3</v>
      </c>
      <c r="DP20" s="22">
        <f t="shared" si="77"/>
        <v>0.35678486716090552</v>
      </c>
      <c r="DQ20" s="22">
        <f t="shared" si="78"/>
        <v>0.20596532649516563</v>
      </c>
      <c r="DR20" s="22">
        <f t="shared" si="79"/>
        <v>4.0013617537581335E-2</v>
      </c>
      <c r="DS20" s="22">
        <f t="shared" si="80"/>
        <v>1.2102424731411099E-2</v>
      </c>
      <c r="DT20" s="22">
        <f t="shared" si="81"/>
        <v>1.7223555814292277</v>
      </c>
      <c r="DU20" s="22">
        <f t="shared" si="82"/>
        <v>0.7223184758747293</v>
      </c>
      <c r="DV20" s="22">
        <f t="shared" si="83"/>
        <v>4.2439295532732089E-2</v>
      </c>
      <c r="DW20" s="22">
        <f t="shared" si="84"/>
        <v>0.23832641892488304</v>
      </c>
      <c r="DX20" s="22">
        <f t="shared" si="85"/>
        <v>2.8949996776023086E-3</v>
      </c>
      <c r="DZ20" s="22">
        <f t="shared" si="86"/>
        <v>0.212675930874755</v>
      </c>
      <c r="EA20" s="22">
        <f t="shared" si="87"/>
        <v>9.4449339207048465E-3</v>
      </c>
      <c r="EB20" s="22">
        <f t="shared" si="88"/>
        <v>0.35678486716090552</v>
      </c>
      <c r="EC20" s="22">
        <f t="shared" si="89"/>
        <v>0.20596532649516563</v>
      </c>
      <c r="ED20" s="22">
        <f t="shared" si="90"/>
        <v>8.002723507516267E-2</v>
      </c>
      <c r="EE20" s="22">
        <f t="shared" si="91"/>
        <v>2.4204849462822198E-2</v>
      </c>
      <c r="EG20" s="22">
        <f t="shared" si="92"/>
        <v>1.4446369517494586</v>
      </c>
      <c r="EH20" s="22">
        <f t="shared" si="93"/>
        <v>8.4878591065464179E-2</v>
      </c>
      <c r="EI20" s="22">
        <f t="shared" si="94"/>
        <v>0.35748962838732457</v>
      </c>
      <c r="EJ20" s="22">
        <f t="shared" si="95"/>
        <v>4.3424995164034631E-3</v>
      </c>
      <c r="EL20" s="22">
        <f t="shared" si="96"/>
        <v>0.212675930874755</v>
      </c>
      <c r="EM20" s="22">
        <f t="shared" si="97"/>
        <v>9.4449339207048465E-3</v>
      </c>
      <c r="EN20" s="22">
        <f t="shared" si="98"/>
        <v>0.35678486716090552</v>
      </c>
      <c r="EO20" s="22">
        <f t="shared" si="99"/>
        <v>0.20596532649516563</v>
      </c>
      <c r="EP20" s="22">
        <f t="shared" si="100"/>
        <v>4.0013617537581335E-2</v>
      </c>
      <c r="EQ20" s="22">
        <f t="shared" si="101"/>
        <v>1.2102424731411099E-2</v>
      </c>
      <c r="ER20" s="22">
        <f t="shared" si="102"/>
        <v>2.7283347714391741</v>
      </c>
      <c r="ES20" s="22">
        <f t="shared" si="103"/>
        <v>8.4300505351356456</v>
      </c>
      <c r="EU20" s="86">
        <f t="shared" si="104"/>
        <v>6.0891812540861254</v>
      </c>
      <c r="EV20" s="86">
        <f t="shared" si="105"/>
        <v>0.35776540601648799</v>
      </c>
      <c r="EW20" s="86">
        <f t="shared" si="106"/>
        <v>2.0091037553946722</v>
      </c>
      <c r="EX20" s="86">
        <f t="shared" si="107"/>
        <v>2.4404993581388864E-2</v>
      </c>
      <c r="EY20" s="86"/>
      <c r="EZ20" s="86">
        <f t="shared" si="108"/>
        <v>1.7928688448812</v>
      </c>
      <c r="FA20" s="86">
        <f t="shared" si="109"/>
        <v>7.9621270252558704E-2</v>
      </c>
      <c r="FB20" s="86">
        <f t="shared" si="110"/>
        <v>3.0077144603380916</v>
      </c>
      <c r="FC20" s="86">
        <f t="shared" si="111"/>
        <v>1.7362981108399591</v>
      </c>
      <c r="FD20" s="86">
        <f t="shared" si="112"/>
        <v>0.67463363587080116</v>
      </c>
      <c r="FE20" s="86">
        <f t="shared" si="113"/>
        <v>0.20404810416694202</v>
      </c>
      <c r="FF20" s="22">
        <f t="shared" si="114"/>
        <v>15.096958095390484</v>
      </c>
      <c r="FG20" s="22">
        <f t="shared" si="115"/>
        <v>15.975639835428227</v>
      </c>
      <c r="FH20" s="22">
        <f t="shared" si="116"/>
        <v>13.360659984550525</v>
      </c>
      <c r="FI20" s="22" t="str">
        <f t="shared" si="117"/>
        <v>Good</v>
      </c>
      <c r="FJ20" s="22">
        <f t="shared" si="118"/>
        <v>164.26441129771155</v>
      </c>
      <c r="FK20" s="22">
        <f t="shared" si="158"/>
        <v>0.62653104198151166</v>
      </c>
      <c r="FL20" s="22">
        <f t="shared" si="119"/>
        <v>0.19810593393800471</v>
      </c>
      <c r="FM20" s="87"/>
      <c r="FN20" s="87">
        <f t="shared" si="120"/>
        <v>-11.43215317648999</v>
      </c>
      <c r="FO20" s="22">
        <f t="shared" si="121"/>
        <v>0.10441676804852133</v>
      </c>
      <c r="FP20" s="88">
        <f t="shared" si="122"/>
        <v>0.15486463994191518</v>
      </c>
      <c r="FQ20" s="88">
        <f t="shared" si="123"/>
        <v>1.6380042049392849</v>
      </c>
      <c r="FR20" s="87">
        <f t="shared" si="124"/>
        <v>6.0891812540861254</v>
      </c>
      <c r="FS20" s="87">
        <f t="shared" si="125"/>
        <v>1.9108187459138746</v>
      </c>
      <c r="FT20" s="87">
        <f t="shared" si="126"/>
        <v>0</v>
      </c>
      <c r="FU20" s="86">
        <f t="shared" si="127"/>
        <v>8</v>
      </c>
      <c r="FV20" s="87">
        <f t="shared" si="128"/>
        <v>9.8285009480797658E-2</v>
      </c>
      <c r="FW20" s="87">
        <f t="shared" si="129"/>
        <v>2.4404993581388864E-2</v>
      </c>
      <c r="FX20" s="87">
        <f t="shared" si="130"/>
        <v>0.15486463994191518</v>
      </c>
      <c r="FY20" s="87">
        <f t="shared" si="131"/>
        <v>0.35776540601648799</v>
      </c>
      <c r="FZ20" s="87">
        <f t="shared" si="132"/>
        <v>0.63532004902058969</v>
      </c>
      <c r="GA20" s="87">
        <f t="shared" si="133"/>
        <v>3.0077144603380916</v>
      </c>
      <c r="GB20" s="87">
        <f t="shared" si="134"/>
        <v>3.6430345093586816</v>
      </c>
      <c r="GC20" s="87">
        <f t="shared" si="135"/>
        <v>1.3569654906413184</v>
      </c>
      <c r="GD20" s="87">
        <f t="shared" si="136"/>
        <v>5</v>
      </c>
      <c r="GE20" s="87">
        <f t="shared" si="137"/>
        <v>0</v>
      </c>
      <c r="GF20" s="87">
        <f t="shared" si="138"/>
        <v>5</v>
      </c>
      <c r="GG20" s="86">
        <f t="shared" si="139"/>
        <v>0</v>
      </c>
      <c r="GH20" s="86">
        <f t="shared" si="140"/>
        <v>0.28103871429796645</v>
      </c>
      <c r="GI20" s="86">
        <f t="shared" si="141"/>
        <v>7.9621270252558704E-2</v>
      </c>
      <c r="GJ20" s="89">
        <f t="shared" si="142"/>
        <v>0.36065998455052517</v>
      </c>
      <c r="GK20" s="89">
        <f t="shared" si="143"/>
        <v>0.36065998455052517</v>
      </c>
      <c r="GL20" s="87">
        <f t="shared" si="144"/>
        <v>1.6393400154494748</v>
      </c>
      <c r="GM20" s="87">
        <f t="shared" si="145"/>
        <v>0</v>
      </c>
      <c r="GN20" s="89">
        <f t="shared" si="146"/>
        <v>2</v>
      </c>
      <c r="GO20" s="87"/>
      <c r="GP20" s="86" t="str">
        <f t="shared" si="159"/>
        <v>CALCIC</v>
      </c>
      <c r="GQ20" s="87"/>
      <c r="GR20" s="87">
        <f t="shared" si="147"/>
        <v>0.67463363587080116</v>
      </c>
      <c r="GS20" s="87">
        <f t="shared" si="148"/>
        <v>0.20404810416694202</v>
      </c>
      <c r="GT20" s="87">
        <f t="shared" si="149"/>
        <v>0.87868174003774313</v>
      </c>
      <c r="GU20" s="86">
        <f t="shared" si="150"/>
        <v>0</v>
      </c>
      <c r="GV20" s="86">
        <f t="shared" si="151"/>
        <v>0.67463363587080116</v>
      </c>
    </row>
    <row r="21" spans="1:204" s="22" customFormat="1" ht="18" customHeight="1" x14ac:dyDescent="0.35">
      <c r="A21" s="97">
        <v>7.6</v>
      </c>
      <c r="B21" s="97" t="s">
        <v>161</v>
      </c>
      <c r="C21" s="36">
        <f t="shared" si="0"/>
        <v>939.85907276834098</v>
      </c>
      <c r="D21" s="36">
        <f t="shared" si="152"/>
        <v>2.8535637808803038</v>
      </c>
      <c r="F21" s="95">
        <v>62.291211138415719</v>
      </c>
      <c r="G21" s="95">
        <v>0.59318084420256079</v>
      </c>
      <c r="H21" s="95">
        <v>17.023015844894498</v>
      </c>
      <c r="I21" s="95">
        <v>5.5877740046268878</v>
      </c>
      <c r="J21" s="95">
        <v>0.14757335029926835</v>
      </c>
      <c r="K21" s="95">
        <v>1.4973946469937387</v>
      </c>
      <c r="L21" s="95">
        <v>5.2114957443452781</v>
      </c>
      <c r="M21" s="95">
        <v>3.799571806828252</v>
      </c>
      <c r="N21" s="95">
        <v>3.8334596113849071</v>
      </c>
      <c r="O21" s="95">
        <v>0</v>
      </c>
      <c r="P21" s="95">
        <v>0.32097015421777975</v>
      </c>
      <c r="Q21" s="95">
        <f t="shared" si="160"/>
        <v>5</v>
      </c>
      <c r="S21" s="98">
        <v>42.27</v>
      </c>
      <c r="T21" s="98">
        <v>2.7</v>
      </c>
      <c r="U21" s="98">
        <v>11.33</v>
      </c>
      <c r="V21" s="98">
        <v>13.3</v>
      </c>
      <c r="W21" s="98">
        <v>0.4</v>
      </c>
      <c r="X21" s="98">
        <v>13.22</v>
      </c>
      <c r="Y21" s="98">
        <v>11.05</v>
      </c>
      <c r="Z21" s="98">
        <v>2.2799999999999998</v>
      </c>
      <c r="AA21" s="98">
        <v>0.99</v>
      </c>
      <c r="AB21" s="98">
        <v>0.01</v>
      </c>
      <c r="AD21" s="35">
        <f t="shared" si="1"/>
        <v>10.275676597081922</v>
      </c>
      <c r="AE21" s="36"/>
      <c r="AF21" s="50">
        <f t="shared" si="2"/>
        <v>0.26959859783890705</v>
      </c>
      <c r="AG21" s="35">
        <f t="shared" si="3"/>
        <v>62.538583166103997</v>
      </c>
      <c r="AH21" s="35">
        <f t="shared" si="4"/>
        <v>5.3</v>
      </c>
      <c r="AI21" s="35">
        <f t="shared" si="5"/>
        <v>2.8535637808803038</v>
      </c>
      <c r="AJ21" s="35">
        <f t="shared" si="6"/>
        <v>5.744105813005536</v>
      </c>
      <c r="AK21" s="36"/>
      <c r="AL21" s="37">
        <f t="shared" si="7"/>
        <v>932.88405708448386</v>
      </c>
      <c r="AM21" s="37">
        <f t="shared" si="8"/>
        <v>930.14628216001802</v>
      </c>
      <c r="AN21" s="37">
        <f t="shared" si="9"/>
        <v>938.35447144279965</v>
      </c>
      <c r="AO21" s="37">
        <f t="shared" si="153"/>
        <v>941.94793918278594</v>
      </c>
      <c r="AP21" s="37">
        <f t="shared" si="10"/>
        <v>958.40297075340754</v>
      </c>
      <c r="AQ21" s="37">
        <f t="shared" si="11"/>
        <v>933.20704023396502</v>
      </c>
      <c r="AR21" s="37">
        <f t="shared" si="12"/>
        <v>939.95072145243489</v>
      </c>
      <c r="AS21" s="37">
        <f t="shared" si="13"/>
        <v>943.97909983683337</v>
      </c>
      <c r="AT21"/>
      <c r="AU21" s="35">
        <f t="shared" si="154"/>
        <v>5.0901365100489189</v>
      </c>
      <c r="AV21"/>
      <c r="AW21" s="37">
        <f t="shared" si="14"/>
        <v>909.69839286324589</v>
      </c>
      <c r="AX21" s="37">
        <f t="shared" si="15"/>
        <v>933.64030185198021</v>
      </c>
      <c r="AY21" s="38"/>
      <c r="AZ21" s="50">
        <f t="shared" si="16"/>
        <v>-0.84310508910919468</v>
      </c>
      <c r="BA21" s="38"/>
      <c r="BB21" s="35">
        <f t="shared" si="17"/>
        <v>6.2316547714739237</v>
      </c>
      <c r="BC21" s="35">
        <f t="shared" si="18"/>
        <v>3.2936211803572535</v>
      </c>
      <c r="BD21" s="35">
        <f t="shared" si="19"/>
        <v>4.1599007182813068</v>
      </c>
      <c r="BE21" s="35">
        <f t="shared" si="20"/>
        <v>6.1128845304199571</v>
      </c>
      <c r="BF21" s="35">
        <f t="shared" si="21"/>
        <v>7.311225856723067</v>
      </c>
      <c r="BG21" s="35">
        <f t="shared" si="22"/>
        <v>2.2929230028195051</v>
      </c>
      <c r="BH21" s="36"/>
      <c r="BI21" s="50">
        <f t="shared" si="155"/>
        <v>0.36076700867460054</v>
      </c>
      <c r="BJ21" s="50" t="str">
        <f t="shared" si="23"/>
        <v>NO</v>
      </c>
      <c r="BK21" s="35">
        <f t="shared" si="24"/>
        <v>6.0793176126132771</v>
      </c>
      <c r="BL21" s="35">
        <f t="shared" si="25"/>
        <v>5.0535026897098518</v>
      </c>
      <c r="BM21" s="35">
        <f t="shared" si="26"/>
        <v>4.9286814331971422</v>
      </c>
      <c r="BN21" s="35">
        <f t="shared" si="27"/>
        <v>6.4519585159321817</v>
      </c>
      <c r="BO21" s="35">
        <f t="shared" si="28"/>
        <v>4.9489688869491379</v>
      </c>
      <c r="BP21" s="35">
        <f t="shared" si="29"/>
        <v>-1.1995774948220106</v>
      </c>
      <c r="BQ21" s="35">
        <f t="shared" si="30"/>
        <v>6.4693176126132776</v>
      </c>
      <c r="BR21" s="35">
        <f t="shared" si="31"/>
        <v>6.4525749177016287</v>
      </c>
      <c r="BS21" s="23"/>
      <c r="BT21" s="23">
        <f t="shared" si="32"/>
        <v>1.0367302463108619</v>
      </c>
      <c r="BU21" s="23">
        <f t="shared" si="33"/>
        <v>7.4260109591350997E-3</v>
      </c>
      <c r="BV21" s="23">
        <f t="shared" si="34"/>
        <v>0.16695614837922831</v>
      </c>
      <c r="BW21" s="23">
        <f t="shared" si="35"/>
        <v>0</v>
      </c>
      <c r="BX21" s="23">
        <f t="shared" si="36"/>
        <v>7.7773889918310274E-2</v>
      </c>
      <c r="BY21" s="23">
        <f t="shared" si="37"/>
        <v>2.0803291672143558E-3</v>
      </c>
      <c r="BZ21" s="23">
        <f t="shared" si="38"/>
        <v>3.7152138401607235E-2</v>
      </c>
      <c r="CA21" s="23">
        <f t="shared" si="39"/>
        <v>9.2933975975085834E-2</v>
      </c>
      <c r="CB21" s="23">
        <f t="shared" si="40"/>
        <v>6.1304279469759096E-2</v>
      </c>
      <c r="CC21" s="23">
        <f t="shared" si="41"/>
        <v>4.0696628427798497E-2</v>
      </c>
      <c r="CD21" s="23">
        <f t="shared" si="42"/>
        <v>2.2613564765901753E-3</v>
      </c>
      <c r="CE21" s="23">
        <f t="shared" si="43"/>
        <v>0.27756374528974326</v>
      </c>
      <c r="CF21" s="22">
        <f t="shared" si="44"/>
        <v>1.8028787487753339</v>
      </c>
      <c r="CG21" s="22">
        <f t="shared" si="156"/>
        <v>1.7965334162389666</v>
      </c>
      <c r="CH21" s="22">
        <f t="shared" si="157"/>
        <v>1.5253150034855907</v>
      </c>
      <c r="CI21" s="23">
        <f t="shared" si="45"/>
        <v>0.57504158114631709</v>
      </c>
      <c r="CJ21" s="23">
        <f t="shared" si="46"/>
        <v>4.1189741485274413E-3</v>
      </c>
      <c r="CK21" s="23">
        <f t="shared" si="47"/>
        <v>9.2605311639864241E-2</v>
      </c>
      <c r="CL21" s="23">
        <f t="shared" si="48"/>
        <v>0</v>
      </c>
      <c r="CM21" s="23">
        <f t="shared" si="49"/>
        <v>4.3138724648643621E-2</v>
      </c>
      <c r="CN21" s="23">
        <f t="shared" si="50"/>
        <v>1.153892999530606E-3</v>
      </c>
      <c r="CO21" s="23">
        <f t="shared" si="51"/>
        <v>2.0607119822586003E-2</v>
      </c>
      <c r="CP21" s="23">
        <f t="shared" si="52"/>
        <v>5.1547546410547221E-2</v>
      </c>
      <c r="CQ21" s="23">
        <f t="shared" si="53"/>
        <v>3.4003550993876926E-2</v>
      </c>
      <c r="CR21" s="23">
        <f t="shared" si="54"/>
        <v>2.2573136687890436E-2</v>
      </c>
      <c r="CS21" s="23">
        <f t="shared" si="55"/>
        <v>1.2543031405335926E-3</v>
      </c>
      <c r="CT21" s="23">
        <f t="shared" si="56"/>
        <v>0.15395585836168282</v>
      </c>
      <c r="CU21" s="22">
        <f t="shared" si="57"/>
        <v>1.0000000000000002</v>
      </c>
      <c r="CV21" s="22">
        <f t="shared" si="58"/>
        <v>0.84604414163831732</v>
      </c>
      <c r="CX21">
        <f t="shared" si="59"/>
        <v>0.57707262049222063</v>
      </c>
      <c r="CY21">
        <f t="shared" si="60"/>
        <v>4.1335223113641911E-3</v>
      </c>
      <c r="CZ21">
        <f t="shared" si="61"/>
        <v>0.18586478477951182</v>
      </c>
      <c r="DA21">
        <f t="shared" si="62"/>
        <v>0</v>
      </c>
      <c r="DB21">
        <f t="shared" si="63"/>
        <v>4.3291090060061065E-2</v>
      </c>
      <c r="DC21">
        <f t="shared" si="64"/>
        <v>1.1579685345177236E-3</v>
      </c>
      <c r="DD21">
        <f t="shared" si="65"/>
        <v>2.0679903900359974E-2</v>
      </c>
      <c r="DE21">
        <f t="shared" si="66"/>
        <v>5.1729611670481832E-2</v>
      </c>
      <c r="DF21">
        <f t="shared" si="67"/>
        <v>6.8247302182777414E-2</v>
      </c>
      <c r="DG21">
        <f t="shared" si="68"/>
        <v>4.5305729423053734E-2</v>
      </c>
      <c r="DH21">
        <f t="shared" si="69"/>
        <v>2.5174666456517277E-3</v>
      </c>
      <c r="DI21" s="22">
        <f t="shared" si="70"/>
        <v>1.0000000000000002</v>
      </c>
      <c r="DJ21" s="22">
        <f t="shared" si="71"/>
        <v>0.70351156624941968</v>
      </c>
      <c r="DK21" s="22">
        <f t="shared" si="72"/>
        <v>3.3801208831379541E-2</v>
      </c>
      <c r="DL21" s="22">
        <f t="shared" si="73"/>
        <v>0.1111209187826718</v>
      </c>
      <c r="DM21" s="22">
        <f t="shared" si="74"/>
        <v>6.579544721823429E-5</v>
      </c>
      <c r="DN21" s="22">
        <f t="shared" si="75"/>
        <v>0.18511713878496347</v>
      </c>
      <c r="DO21" s="22">
        <f t="shared" si="76"/>
        <v>5.638766519823789E-3</v>
      </c>
      <c r="DP21" s="22">
        <f t="shared" si="77"/>
        <v>0.32800389039410088</v>
      </c>
      <c r="DQ21" s="22">
        <f t="shared" si="78"/>
        <v>0.197049078594942</v>
      </c>
      <c r="DR21" s="22">
        <f t="shared" si="79"/>
        <v>3.6786712897453805E-2</v>
      </c>
      <c r="DS21" s="22">
        <f t="shared" si="80"/>
        <v>1.0510000424646481E-2</v>
      </c>
      <c r="DT21" s="22">
        <f t="shared" si="81"/>
        <v>1.6116050769266197</v>
      </c>
      <c r="DU21" s="22">
        <f t="shared" si="82"/>
        <v>0.70351156624941968</v>
      </c>
      <c r="DV21" s="22">
        <f t="shared" si="83"/>
        <v>3.3801208831379541E-2</v>
      </c>
      <c r="DW21" s="22">
        <f t="shared" si="84"/>
        <v>0.2222418375653436</v>
      </c>
      <c r="DX21" s="22">
        <f t="shared" si="85"/>
        <v>1.3159089443646858E-4</v>
      </c>
      <c r="DZ21" s="22">
        <f t="shared" si="86"/>
        <v>0.18511713878496347</v>
      </c>
      <c r="EA21" s="22">
        <f t="shared" si="87"/>
        <v>5.638766519823789E-3</v>
      </c>
      <c r="EB21" s="22">
        <f t="shared" si="88"/>
        <v>0.32800389039410088</v>
      </c>
      <c r="EC21" s="22">
        <f t="shared" si="89"/>
        <v>0.197049078594942</v>
      </c>
      <c r="ED21" s="22">
        <f t="shared" si="90"/>
        <v>7.357342579490761E-2</v>
      </c>
      <c r="EE21" s="22">
        <f t="shared" si="91"/>
        <v>2.1020000849292963E-2</v>
      </c>
      <c r="EG21" s="22">
        <f t="shared" si="92"/>
        <v>1.4070231324988394</v>
      </c>
      <c r="EH21" s="22">
        <f t="shared" si="93"/>
        <v>6.7602417662759082E-2</v>
      </c>
      <c r="EI21" s="22">
        <f t="shared" si="94"/>
        <v>0.33336275634801538</v>
      </c>
      <c r="EJ21" s="22">
        <f t="shared" si="95"/>
        <v>1.9738634165470287E-4</v>
      </c>
      <c r="EL21" s="22">
        <f t="shared" si="96"/>
        <v>0.18511713878496347</v>
      </c>
      <c r="EM21" s="22">
        <f t="shared" si="97"/>
        <v>5.638766519823789E-3</v>
      </c>
      <c r="EN21" s="22">
        <f t="shared" si="98"/>
        <v>0.32800389039410088</v>
      </c>
      <c r="EO21" s="22">
        <f t="shared" si="99"/>
        <v>0.197049078594942</v>
      </c>
      <c r="EP21" s="22">
        <f t="shared" si="100"/>
        <v>3.6786712897453805E-2</v>
      </c>
      <c r="EQ21" s="22">
        <f t="shared" si="101"/>
        <v>1.0510000424646481E-2</v>
      </c>
      <c r="ER21" s="22">
        <f t="shared" si="102"/>
        <v>2.5712912804671988</v>
      </c>
      <c r="ES21" s="22">
        <f t="shared" si="103"/>
        <v>8.9449220221448211</v>
      </c>
      <c r="EU21" s="86">
        <f t="shared" si="104"/>
        <v>6.2928561017780291</v>
      </c>
      <c r="EV21" s="86">
        <f t="shared" si="105"/>
        <v>0.30234917725092286</v>
      </c>
      <c r="EW21" s="86">
        <f t="shared" si="106"/>
        <v>1.9879359070801741</v>
      </c>
      <c r="EX21" s="86">
        <f t="shared" si="107"/>
        <v>1.1770702895585023E-3</v>
      </c>
      <c r="EY21" s="86"/>
      <c r="EZ21" s="86">
        <f t="shared" si="108"/>
        <v>1.6558583713940589</v>
      </c>
      <c r="FA21" s="86">
        <f t="shared" si="109"/>
        <v>5.0438326820904725E-2</v>
      </c>
      <c r="FB21" s="86">
        <f t="shared" si="110"/>
        <v>2.9339692225353691</v>
      </c>
      <c r="FC21" s="86">
        <f t="shared" si="111"/>
        <v>1.7625886425672423</v>
      </c>
      <c r="FD21" s="86">
        <f t="shared" si="112"/>
        <v>0.65810855663750689</v>
      </c>
      <c r="FE21" s="86">
        <f t="shared" si="113"/>
        <v>0.18802226850234346</v>
      </c>
      <c r="FF21" s="22">
        <f t="shared" si="114"/>
        <v>14.98717281971626</v>
      </c>
      <c r="FG21" s="22">
        <f t="shared" si="115"/>
        <v>15.833303644856111</v>
      </c>
      <c r="FH21" s="22">
        <f t="shared" si="116"/>
        <v>13.224584177149017</v>
      </c>
      <c r="FI21" s="22" t="str">
        <f t="shared" si="117"/>
        <v>Good</v>
      </c>
      <c r="FJ21" s="22">
        <f t="shared" si="118"/>
        <v>139.47842065452335</v>
      </c>
      <c r="FK21" s="22">
        <f t="shared" si="158"/>
        <v>0.63923299132539946</v>
      </c>
      <c r="FL21" s="22">
        <f t="shared" si="119"/>
        <v>0.21772235559170408</v>
      </c>
      <c r="FM21" s="87"/>
      <c r="FN21" s="87">
        <f t="shared" si="120"/>
        <v>-11.859869094903807</v>
      </c>
      <c r="FO21" s="22">
        <f t="shared" si="121"/>
        <v>0.10124189465750563</v>
      </c>
      <c r="FP21" s="88">
        <f t="shared" si="122"/>
        <v>0.13941330460672793</v>
      </c>
      <c r="FQ21" s="88">
        <f t="shared" si="123"/>
        <v>1.516445066787331</v>
      </c>
      <c r="FR21" s="87">
        <f t="shared" si="124"/>
        <v>6.2928561017780291</v>
      </c>
      <c r="FS21" s="87">
        <f t="shared" si="125"/>
        <v>1.7071438982219709</v>
      </c>
      <c r="FT21" s="87">
        <f t="shared" si="126"/>
        <v>0</v>
      </c>
      <c r="FU21" s="86">
        <f t="shared" si="127"/>
        <v>8</v>
      </c>
      <c r="FV21" s="87">
        <f t="shared" si="128"/>
        <v>0.28079200885820321</v>
      </c>
      <c r="FW21" s="87">
        <f t="shared" si="129"/>
        <v>1.1770702895585023E-3</v>
      </c>
      <c r="FX21" s="87">
        <f t="shared" si="130"/>
        <v>0.13941330460672793</v>
      </c>
      <c r="FY21" s="87">
        <f t="shared" si="131"/>
        <v>0.30234917725092286</v>
      </c>
      <c r="FZ21" s="87">
        <f t="shared" si="132"/>
        <v>0.72373156100541247</v>
      </c>
      <c r="GA21" s="87">
        <f t="shared" si="133"/>
        <v>2.9339692225353691</v>
      </c>
      <c r="GB21" s="87">
        <f t="shared" si="134"/>
        <v>3.6577007835407818</v>
      </c>
      <c r="GC21" s="87">
        <f t="shared" si="135"/>
        <v>1.3422992164592182</v>
      </c>
      <c r="GD21" s="87">
        <f t="shared" si="136"/>
        <v>5</v>
      </c>
      <c r="GE21" s="87">
        <f t="shared" si="137"/>
        <v>0</v>
      </c>
      <c r="GF21" s="87">
        <f t="shared" si="138"/>
        <v>5</v>
      </c>
      <c r="GG21" s="86">
        <f t="shared" si="139"/>
        <v>0</v>
      </c>
      <c r="GH21" s="86">
        <f t="shared" si="140"/>
        <v>0.17414585032811281</v>
      </c>
      <c r="GI21" s="86">
        <f t="shared" si="141"/>
        <v>5.0438326820904725E-2</v>
      </c>
      <c r="GJ21" s="89">
        <f t="shared" si="142"/>
        <v>0.22458417714901752</v>
      </c>
      <c r="GK21" s="89">
        <f t="shared" si="143"/>
        <v>0.22458417714901752</v>
      </c>
      <c r="GL21" s="87">
        <f t="shared" si="144"/>
        <v>1.7625886425672423</v>
      </c>
      <c r="GM21" s="87">
        <f t="shared" si="145"/>
        <v>1.2827180283740081E-2</v>
      </c>
      <c r="GN21" s="89">
        <f t="shared" si="146"/>
        <v>2</v>
      </c>
      <c r="GO21" s="87"/>
      <c r="GP21" s="86" t="str">
        <f t="shared" si="159"/>
        <v>CALCIC</v>
      </c>
      <c r="GQ21" s="87"/>
      <c r="GR21" s="87">
        <f t="shared" si="147"/>
        <v>0.64528137635376681</v>
      </c>
      <c r="GS21" s="87">
        <f t="shared" si="148"/>
        <v>0.18802226850234346</v>
      </c>
      <c r="GT21" s="87">
        <f t="shared" si="149"/>
        <v>0.8333036448561103</v>
      </c>
      <c r="GU21" s="86">
        <f t="shared" si="150"/>
        <v>0</v>
      </c>
      <c r="GV21" s="86">
        <f t="shared" si="151"/>
        <v>0.65810855663750689</v>
      </c>
    </row>
    <row r="22" spans="1:204" s="22" customFormat="1" ht="18" customHeight="1" x14ac:dyDescent="0.35">
      <c r="A22" s="97">
        <v>9.8000000000000007</v>
      </c>
      <c r="B22" s="97" t="s">
        <v>161</v>
      </c>
      <c r="C22" s="36">
        <f t="shared" si="0"/>
        <v>920.50194032372883</v>
      </c>
      <c r="D22" s="36">
        <f t="shared" si="152"/>
        <v>2.9707001779162692</v>
      </c>
      <c r="F22" s="95">
        <v>62.103648287651396</v>
      </c>
      <c r="G22" s="95">
        <v>0.59746242797746074</v>
      </c>
      <c r="H22" s="95">
        <v>17.080115771291815</v>
      </c>
      <c r="I22" s="95">
        <v>5.6507939364494124</v>
      </c>
      <c r="J22" s="95">
        <v>0.14893051239016464</v>
      </c>
      <c r="K22" s="95">
        <v>1.5232510416106213</v>
      </c>
      <c r="L22" s="95">
        <v>5.3004991458868282</v>
      </c>
      <c r="M22" s="95">
        <v>3.7999648924775506</v>
      </c>
      <c r="N22" s="95">
        <v>3.7857285086849828</v>
      </c>
      <c r="O22" s="95">
        <v>0</v>
      </c>
      <c r="P22" s="95">
        <v>0.32098963906677513</v>
      </c>
      <c r="Q22" s="95">
        <f t="shared" si="160"/>
        <v>5</v>
      </c>
      <c r="S22" s="98">
        <v>41.2</v>
      </c>
      <c r="T22" s="98">
        <v>2.02</v>
      </c>
      <c r="U22" s="98">
        <v>10.91</v>
      </c>
      <c r="V22" s="98">
        <v>12.02</v>
      </c>
      <c r="W22" s="98">
        <v>0.22</v>
      </c>
      <c r="X22" s="98">
        <v>12.02</v>
      </c>
      <c r="Y22" s="98">
        <v>10.58</v>
      </c>
      <c r="Z22" s="98">
        <v>2.15</v>
      </c>
      <c r="AA22" s="98">
        <v>0.77</v>
      </c>
      <c r="AB22" s="98">
        <v>0</v>
      </c>
      <c r="AD22" s="35">
        <f t="shared" si="1"/>
        <v>9.6770981013113708</v>
      </c>
      <c r="AE22" s="36"/>
      <c r="AF22" s="50">
        <f t="shared" si="2"/>
        <v>0.26956407519749914</v>
      </c>
      <c r="AG22" s="35">
        <f t="shared" si="3"/>
        <v>64.0207866165794</v>
      </c>
      <c r="AH22" s="35">
        <f t="shared" si="4"/>
        <v>4.7</v>
      </c>
      <c r="AI22" s="35">
        <f t="shared" si="5"/>
        <v>2.9707001779162692</v>
      </c>
      <c r="AJ22" s="35">
        <f t="shared" si="6"/>
        <v>5.0141920422855204</v>
      </c>
      <c r="AK22" s="36"/>
      <c r="AL22" s="37">
        <f t="shared" si="7"/>
        <v>908.93954404667261</v>
      </c>
      <c r="AM22" s="37">
        <f t="shared" si="8"/>
        <v>906.41258464973976</v>
      </c>
      <c r="AN22" s="37">
        <f t="shared" si="9"/>
        <v>909.38248901860788</v>
      </c>
      <c r="AO22" s="37">
        <f t="shared" si="153"/>
        <v>942.37545025353029</v>
      </c>
      <c r="AP22" s="37">
        <f t="shared" si="10"/>
        <v>958.05474850870587</v>
      </c>
      <c r="AQ22" s="37">
        <f t="shared" si="11"/>
        <v>928.18175539568358</v>
      </c>
      <c r="AR22" s="37">
        <f t="shared" si="12"/>
        <v>898.98317752994762</v>
      </c>
      <c r="AS22" s="37">
        <f t="shared" si="13"/>
        <v>911.6857731869444</v>
      </c>
      <c r="AT22"/>
      <c r="AU22" s="35">
        <f t="shared" si="154"/>
        <v>5.205334498151128</v>
      </c>
      <c r="AV22"/>
      <c r="AW22" s="37">
        <f t="shared" si="14"/>
        <v>912.49781487836742</v>
      </c>
      <c r="AX22" s="37">
        <f t="shared" si="15"/>
        <v>934.31557813357983</v>
      </c>
      <c r="AY22" s="38"/>
      <c r="AZ22" s="50">
        <f t="shared" si="16"/>
        <v>-1.0230791193469473</v>
      </c>
      <c r="BA22" s="38"/>
      <c r="BB22" s="35">
        <f t="shared" si="17"/>
        <v>4.4201443380276038</v>
      </c>
      <c r="BC22" s="35">
        <f t="shared" si="18"/>
        <v>3.1379022860288943</v>
      </c>
      <c r="BD22" s="35">
        <f t="shared" si="19"/>
        <v>3.4591793098430044</v>
      </c>
      <c r="BE22" s="35">
        <f t="shared" si="20"/>
        <v>5.9852318589893683</v>
      </c>
      <c r="BF22" s="35">
        <f t="shared" si="21"/>
        <v>10.189207176593319</v>
      </c>
      <c r="BG22" s="35">
        <f t="shared" si="22"/>
        <v>2.4073994385688828</v>
      </c>
      <c r="BH22" s="36"/>
      <c r="BI22" s="50">
        <f t="shared" si="155"/>
        <v>0.3593768390417188</v>
      </c>
      <c r="BJ22" s="50" t="str">
        <f t="shared" si="23"/>
        <v>NO</v>
      </c>
      <c r="BK22" s="35">
        <f t="shared" si="24"/>
        <v>6.2136487036207537</v>
      </c>
      <c r="BL22" s="35">
        <f t="shared" si="25"/>
        <v>5.1908851380906196</v>
      </c>
      <c r="BM22" s="35">
        <f t="shared" si="26"/>
        <v>5.127387900554031</v>
      </c>
      <c r="BN22" s="35">
        <f t="shared" si="27"/>
        <v>6.6025802561473235</v>
      </c>
      <c r="BO22" s="35">
        <f t="shared" si="28"/>
        <v>5.0619351921104938</v>
      </c>
      <c r="BP22" s="35">
        <f t="shared" si="29"/>
        <v>-0.2581039988237146</v>
      </c>
      <c r="BQ22" s="35">
        <f t="shared" si="30"/>
        <v>6.6036487036207543</v>
      </c>
      <c r="BR22" s="35">
        <f t="shared" si="31"/>
        <v>6.5796953934860394</v>
      </c>
      <c r="BS22" s="23"/>
      <c r="BT22" s="23">
        <f t="shared" si="32"/>
        <v>1.0336085847326406</v>
      </c>
      <c r="BU22" s="23">
        <f t="shared" si="33"/>
        <v>7.4796119618404473E-3</v>
      </c>
      <c r="BV22" s="23">
        <f t="shared" si="34"/>
        <v>0.16751616570347305</v>
      </c>
      <c r="BW22" s="23">
        <f t="shared" si="35"/>
        <v>0</v>
      </c>
      <c r="BX22" s="23">
        <f t="shared" si="36"/>
        <v>7.8651037998416232E-2</v>
      </c>
      <c r="BY22" s="23">
        <f t="shared" si="37"/>
        <v>2.0994609676146555E-3</v>
      </c>
      <c r="BZ22" s="23">
        <f t="shared" si="38"/>
        <v>3.7793666240177777E-2</v>
      </c>
      <c r="CA22" s="23">
        <f t="shared" si="39"/>
        <v>9.4521128759301049E-2</v>
      </c>
      <c r="CB22" s="23">
        <f t="shared" si="40"/>
        <v>6.1310621719287542E-2</v>
      </c>
      <c r="CC22" s="23">
        <f t="shared" si="41"/>
        <v>4.0189907306944911E-2</v>
      </c>
      <c r="CD22" s="23">
        <f t="shared" si="42"/>
        <v>2.2614937547417173E-3</v>
      </c>
      <c r="CE22" s="23">
        <f t="shared" si="43"/>
        <v>0.27756374528974326</v>
      </c>
      <c r="CF22" s="22">
        <f t="shared" si="44"/>
        <v>1.8029954244341815</v>
      </c>
      <c r="CG22" s="22">
        <f t="shared" si="156"/>
        <v>1.7967098676288853</v>
      </c>
      <c r="CH22" s="22">
        <f t="shared" si="157"/>
        <v>1.5254316791444382</v>
      </c>
      <c r="CI22" s="23">
        <f t="shared" si="45"/>
        <v>0.57327299377756824</v>
      </c>
      <c r="CJ22" s="23">
        <f t="shared" si="46"/>
        <v>4.1484364632748362E-3</v>
      </c>
      <c r="CK22" s="23">
        <f t="shared" si="47"/>
        <v>9.290992280584584E-2</v>
      </c>
      <c r="CL22" s="23">
        <f t="shared" si="48"/>
        <v>0</v>
      </c>
      <c r="CM22" s="23">
        <f t="shared" si="49"/>
        <v>4.3622427951029663E-2</v>
      </c>
      <c r="CN22" s="23">
        <f t="shared" si="50"/>
        <v>1.1644294484405091E-3</v>
      </c>
      <c r="CO22" s="23">
        <f t="shared" si="51"/>
        <v>2.0961598530976993E-2</v>
      </c>
      <c r="CP22" s="23">
        <f t="shared" si="52"/>
        <v>5.2424497299522435E-2</v>
      </c>
      <c r="CQ22" s="23">
        <f t="shared" si="53"/>
        <v>3.4004868170160844E-2</v>
      </c>
      <c r="CR22" s="23">
        <f t="shared" si="54"/>
        <v>2.2290631890847623E-2</v>
      </c>
      <c r="CS22" s="23">
        <f t="shared" si="55"/>
        <v>1.254298110851514E-3</v>
      </c>
      <c r="CT22" s="23">
        <f t="shared" si="56"/>
        <v>0.15394589555148133</v>
      </c>
      <c r="CU22" s="22">
        <f t="shared" si="57"/>
        <v>0.99999999999999978</v>
      </c>
      <c r="CV22" s="22">
        <f t="shared" si="58"/>
        <v>0.84605410444851847</v>
      </c>
      <c r="CX22">
        <f t="shared" si="59"/>
        <v>0.57527851510978345</v>
      </c>
      <c r="CY22">
        <f t="shared" si="60"/>
        <v>4.1629492310359924E-3</v>
      </c>
      <c r="CZ22">
        <f t="shared" si="61"/>
        <v>0.18646991227865167</v>
      </c>
      <c r="DA22">
        <f t="shared" si="62"/>
        <v>0</v>
      </c>
      <c r="DB22">
        <f t="shared" si="63"/>
        <v>4.3775035366289752E-2</v>
      </c>
      <c r="DC22">
        <f t="shared" si="64"/>
        <v>1.1685030540770115E-3</v>
      </c>
      <c r="DD22">
        <f t="shared" si="65"/>
        <v>2.1034929968996058E-2</v>
      </c>
      <c r="DE22">
        <f t="shared" si="66"/>
        <v>5.2607897614566121E-2</v>
      </c>
      <c r="DF22">
        <f t="shared" si="67"/>
        <v>6.8247659595924701E-2</v>
      </c>
      <c r="DG22">
        <f t="shared" si="68"/>
        <v>4.4737225559943583E-2</v>
      </c>
      <c r="DH22">
        <f t="shared" si="69"/>
        <v>2.5173722207316716E-3</v>
      </c>
      <c r="DI22" s="22">
        <f t="shared" si="70"/>
        <v>1</v>
      </c>
      <c r="DJ22" s="22">
        <f t="shared" si="71"/>
        <v>0.68570325359536521</v>
      </c>
      <c r="DK22" s="22">
        <f t="shared" si="72"/>
        <v>2.5288311792365434E-2</v>
      </c>
      <c r="DL22" s="22">
        <f t="shared" si="73"/>
        <v>0.10700169672718</v>
      </c>
      <c r="DM22" s="22">
        <f t="shared" si="74"/>
        <v>0</v>
      </c>
      <c r="DN22" s="22">
        <f t="shared" si="75"/>
        <v>0.16730135399964366</v>
      </c>
      <c r="DO22" s="22">
        <f t="shared" si="76"/>
        <v>3.1013215859030836E-3</v>
      </c>
      <c r="DP22" s="22">
        <f t="shared" si="77"/>
        <v>0.29823046615257887</v>
      </c>
      <c r="DQ22" s="22">
        <f t="shared" si="78"/>
        <v>0.18866780556873181</v>
      </c>
      <c r="DR22" s="22">
        <f t="shared" si="79"/>
        <v>3.4689224881370918E-2</v>
      </c>
      <c r="DS22" s="22">
        <f t="shared" si="80"/>
        <v>8.1744447747250423E-3</v>
      </c>
      <c r="DT22" s="22">
        <f t="shared" si="81"/>
        <v>1.5181578790778638</v>
      </c>
      <c r="DU22" s="22">
        <f t="shared" si="82"/>
        <v>0.68570325359536521</v>
      </c>
      <c r="DV22" s="22">
        <f t="shared" si="83"/>
        <v>2.5288311792365434E-2</v>
      </c>
      <c r="DW22" s="22">
        <f t="shared" si="84"/>
        <v>0.21400339345436001</v>
      </c>
      <c r="DX22" s="22">
        <f t="shared" si="85"/>
        <v>0</v>
      </c>
      <c r="DZ22" s="22">
        <f t="shared" si="86"/>
        <v>0.16730135399964366</v>
      </c>
      <c r="EA22" s="22">
        <f t="shared" si="87"/>
        <v>3.1013215859030836E-3</v>
      </c>
      <c r="EB22" s="22">
        <f t="shared" si="88"/>
        <v>0.29823046615257887</v>
      </c>
      <c r="EC22" s="22">
        <f t="shared" si="89"/>
        <v>0.18866780556873181</v>
      </c>
      <c r="ED22" s="22">
        <f t="shared" si="90"/>
        <v>6.9378449762741837E-2</v>
      </c>
      <c r="EE22" s="22">
        <f t="shared" si="91"/>
        <v>1.6348889549450085E-2</v>
      </c>
      <c r="EG22" s="22">
        <f t="shared" si="92"/>
        <v>1.3714065071907304</v>
      </c>
      <c r="EH22" s="22">
        <f t="shared" si="93"/>
        <v>5.0576623584730869E-2</v>
      </c>
      <c r="EI22" s="22">
        <f t="shared" si="94"/>
        <v>0.32100509018154</v>
      </c>
      <c r="EJ22" s="22">
        <f t="shared" si="95"/>
        <v>0</v>
      </c>
      <c r="EL22" s="22">
        <f t="shared" si="96"/>
        <v>0.16730135399964366</v>
      </c>
      <c r="EM22" s="22">
        <f t="shared" si="97"/>
        <v>3.1013215859030836E-3</v>
      </c>
      <c r="EN22" s="22">
        <f t="shared" si="98"/>
        <v>0.29823046615257887</v>
      </c>
      <c r="EO22" s="22">
        <f t="shared" si="99"/>
        <v>0.18866780556873181</v>
      </c>
      <c r="EP22" s="22">
        <f t="shared" si="100"/>
        <v>3.4689224881370918E-2</v>
      </c>
      <c r="EQ22" s="22">
        <f t="shared" si="101"/>
        <v>8.1744447747250423E-3</v>
      </c>
      <c r="ER22" s="22">
        <f t="shared" si="102"/>
        <v>2.4431528379199547</v>
      </c>
      <c r="ES22" s="22">
        <f t="shared" si="103"/>
        <v>9.4140651550812038</v>
      </c>
      <c r="EU22" s="86">
        <f t="shared" si="104"/>
        <v>6.4552551063979378</v>
      </c>
      <c r="EV22" s="86">
        <f t="shared" si="105"/>
        <v>0.23806581487533654</v>
      </c>
      <c r="EW22" s="86">
        <f t="shared" si="106"/>
        <v>2.0146418893878235</v>
      </c>
      <c r="EX22" s="86">
        <f t="shared" si="107"/>
        <v>0</v>
      </c>
      <c r="EY22" s="86"/>
      <c r="EZ22" s="86">
        <f t="shared" si="108"/>
        <v>1.5749858470859508</v>
      </c>
      <c r="FA22" s="86">
        <f t="shared" si="109"/>
        <v>2.9196043476551397E-2</v>
      </c>
      <c r="FB22" s="86">
        <f t="shared" si="110"/>
        <v>2.8075610395906172</v>
      </c>
      <c r="FC22" s="86">
        <f t="shared" si="111"/>
        <v>1.7761310142902336</v>
      </c>
      <c r="FD22" s="86">
        <f t="shared" si="112"/>
        <v>0.65313324642497972</v>
      </c>
      <c r="FE22" s="86">
        <f t="shared" si="113"/>
        <v>0.15390951143174927</v>
      </c>
      <c r="FF22" s="22">
        <f t="shared" si="114"/>
        <v>14.895836755104451</v>
      </c>
      <c r="FG22" s="22">
        <f t="shared" si="115"/>
        <v>15.70287951296118</v>
      </c>
      <c r="FH22" s="22">
        <f t="shared" si="116"/>
        <v>13.119705740814217</v>
      </c>
      <c r="FI22" s="22" t="str">
        <f t="shared" si="117"/>
        <v>Good</v>
      </c>
      <c r="FJ22" s="22">
        <f t="shared" si="118"/>
        <v>132.25356709085671</v>
      </c>
      <c r="FK22" s="22">
        <f t="shared" si="158"/>
        <v>0.6406231609582812</v>
      </c>
      <c r="FL22" s="22">
        <f t="shared" si="119"/>
        <v>0.22004508757238081</v>
      </c>
      <c r="FM22" s="87"/>
      <c r="FN22" s="87">
        <f t="shared" si="120"/>
        <v>-12.31599247357839</v>
      </c>
      <c r="FO22" s="22">
        <f t="shared" si="121"/>
        <v>9.9115302955093118E-2</v>
      </c>
      <c r="FP22" s="88">
        <f t="shared" si="122"/>
        <v>0.13027976302218483</v>
      </c>
      <c r="FQ22" s="88">
        <f t="shared" si="123"/>
        <v>1.444706084063766</v>
      </c>
      <c r="FR22" s="87">
        <f t="shared" si="124"/>
        <v>6.4552551063979378</v>
      </c>
      <c r="FS22" s="87">
        <f t="shared" si="125"/>
        <v>1.5447448936020622</v>
      </c>
      <c r="FT22" s="87">
        <f t="shared" si="126"/>
        <v>0</v>
      </c>
      <c r="FU22" s="86">
        <f t="shared" si="127"/>
        <v>8</v>
      </c>
      <c r="FV22" s="87">
        <f t="shared" si="128"/>
        <v>0.46989699578576127</v>
      </c>
      <c r="FW22" s="87">
        <f t="shared" si="129"/>
        <v>0</v>
      </c>
      <c r="FX22" s="87">
        <f t="shared" si="130"/>
        <v>0.13027976302218483</v>
      </c>
      <c r="FY22" s="87">
        <f t="shared" si="131"/>
        <v>0.23806581487533654</v>
      </c>
      <c r="FZ22" s="87">
        <f t="shared" si="132"/>
        <v>0.83824257368328259</v>
      </c>
      <c r="GA22" s="87">
        <f t="shared" si="133"/>
        <v>2.8075610395906172</v>
      </c>
      <c r="GB22" s="87">
        <f t="shared" si="134"/>
        <v>3.6458036132739</v>
      </c>
      <c r="GC22" s="87">
        <f t="shared" si="135"/>
        <v>1.3541963867261</v>
      </c>
      <c r="GD22" s="87">
        <f t="shared" si="136"/>
        <v>5</v>
      </c>
      <c r="GE22" s="87">
        <f t="shared" si="137"/>
        <v>0</v>
      </c>
      <c r="GF22" s="87">
        <f t="shared" si="138"/>
        <v>5</v>
      </c>
      <c r="GG22" s="86">
        <f t="shared" si="139"/>
        <v>0</v>
      </c>
      <c r="GH22" s="86">
        <f t="shared" si="140"/>
        <v>9.0509697337666006E-2</v>
      </c>
      <c r="GI22" s="86">
        <f t="shared" si="141"/>
        <v>2.9196043476551397E-2</v>
      </c>
      <c r="GJ22" s="89">
        <f t="shared" si="142"/>
        <v>0.11970574081421741</v>
      </c>
      <c r="GK22" s="89">
        <f t="shared" si="143"/>
        <v>0.11970574081421741</v>
      </c>
      <c r="GL22" s="87">
        <f t="shared" si="144"/>
        <v>1.7761310142902336</v>
      </c>
      <c r="GM22" s="87">
        <f t="shared" si="145"/>
        <v>0.10416324489554896</v>
      </c>
      <c r="GN22" s="89">
        <f t="shared" si="146"/>
        <v>2</v>
      </c>
      <c r="GO22" s="87"/>
      <c r="GP22" s="86" t="str">
        <f t="shared" si="159"/>
        <v>CALCIC</v>
      </c>
      <c r="GQ22" s="87"/>
      <c r="GR22" s="87">
        <f t="shared" si="147"/>
        <v>0.54897000152943076</v>
      </c>
      <c r="GS22" s="87">
        <f t="shared" si="148"/>
        <v>0.15390951143174927</v>
      </c>
      <c r="GT22" s="87">
        <f t="shared" si="149"/>
        <v>0.70287951296118001</v>
      </c>
      <c r="GU22" s="86">
        <f t="shared" si="150"/>
        <v>0</v>
      </c>
      <c r="GV22" s="86">
        <f t="shared" si="151"/>
        <v>0.65313324642497972</v>
      </c>
    </row>
    <row r="23" spans="1:204" s="22" customFormat="1" ht="18" customHeight="1" x14ac:dyDescent="0.35">
      <c r="A23" s="97">
        <v>10.6</v>
      </c>
      <c r="B23" s="97" t="s">
        <v>161</v>
      </c>
      <c r="C23" s="36">
        <f t="shared" si="0"/>
        <v>953.56376278293419</v>
      </c>
      <c r="D23" s="36">
        <f t="shared" si="152"/>
        <v>3.2501326841504081</v>
      </c>
      <c r="F23" s="95">
        <v>63.621997293382826</v>
      </c>
      <c r="G23" s="95">
        <v>0.56280237434165847</v>
      </c>
      <c r="H23" s="95">
        <v>16.617883425603903</v>
      </c>
      <c r="I23" s="95">
        <v>5.1406382716465444</v>
      </c>
      <c r="J23" s="95">
        <v>0.13794408462511612</v>
      </c>
      <c r="K23" s="95">
        <v>1.3139397046461732</v>
      </c>
      <c r="L23" s="95">
        <v>4.5800034523812112</v>
      </c>
      <c r="M23" s="95">
        <v>3.7967828060337414</v>
      </c>
      <c r="N23" s="95">
        <v>4.1721188414804669</v>
      </c>
      <c r="O23" s="95">
        <v>0</v>
      </c>
      <c r="P23" s="95">
        <v>0.32083190633356912</v>
      </c>
      <c r="Q23" s="95">
        <f t="shared" si="160"/>
        <v>5</v>
      </c>
      <c r="S23" s="98">
        <v>43.33</v>
      </c>
      <c r="T23" s="98">
        <v>3.28</v>
      </c>
      <c r="U23" s="98">
        <v>12.27</v>
      </c>
      <c r="V23" s="98">
        <v>14.63</v>
      </c>
      <c r="W23" s="98">
        <v>0.62</v>
      </c>
      <c r="X23" s="98">
        <v>13.86</v>
      </c>
      <c r="Y23" s="98">
        <v>11.53</v>
      </c>
      <c r="Z23" s="98">
        <v>2.46</v>
      </c>
      <c r="AA23" s="98">
        <v>1.17</v>
      </c>
      <c r="AB23" s="98">
        <v>0.05</v>
      </c>
      <c r="AD23" s="35">
        <f t="shared" si="1"/>
        <v>10.960581498574825</v>
      </c>
      <c r="AE23" s="36"/>
      <c r="AF23" s="50">
        <f t="shared" si="2"/>
        <v>0.26979847279938229</v>
      </c>
      <c r="AG23" s="35">
        <f t="shared" si="3"/>
        <v>60.044381225346953</v>
      </c>
      <c r="AH23" s="35">
        <f t="shared" si="4"/>
        <v>6</v>
      </c>
      <c r="AI23" s="35">
        <f t="shared" si="5"/>
        <v>3.2501326841504081</v>
      </c>
      <c r="AJ23" s="35">
        <f t="shared" si="6"/>
        <v>6.7602847448434513</v>
      </c>
      <c r="AK23" s="36"/>
      <c r="AL23" s="37">
        <f t="shared" si="7"/>
        <v>954.78564773000312</v>
      </c>
      <c r="AM23" s="37">
        <f t="shared" si="8"/>
        <v>951.77682591947712</v>
      </c>
      <c r="AN23" s="37">
        <f t="shared" si="9"/>
        <v>965.22729341734839</v>
      </c>
      <c r="AO23" s="37">
        <f t="shared" si="153"/>
        <v>938.33341970328945</v>
      </c>
      <c r="AP23" s="37">
        <f t="shared" si="10"/>
        <v>957.61674673102038</v>
      </c>
      <c r="AQ23" s="37">
        <f t="shared" si="11"/>
        <v>926.65704963478106</v>
      </c>
      <c r="AR23" s="37">
        <f t="shared" si="12"/>
        <v>968.3445862974321</v>
      </c>
      <c r="AS23" s="37">
        <f t="shared" si="13"/>
        <v>965.76853283012122</v>
      </c>
      <c r="AT23"/>
      <c r="AU23" s="35">
        <f t="shared" si="154"/>
        <v>5.3597160001268715</v>
      </c>
      <c r="AV23"/>
      <c r="AW23" s="37">
        <f t="shared" si="14"/>
        <v>910.20455200204651</v>
      </c>
      <c r="AX23" s="37">
        <f t="shared" si="15"/>
        <v>928.70770665663713</v>
      </c>
      <c r="AY23" s="38"/>
      <c r="AZ23" s="50">
        <f t="shared" si="16"/>
        <v>-0.8374275452136718</v>
      </c>
      <c r="BA23" s="38"/>
      <c r="BB23" s="35">
        <f t="shared" si="17"/>
        <v>9.7498732266395773</v>
      </c>
      <c r="BC23" s="35">
        <f t="shared" si="18"/>
        <v>3.855692445544133</v>
      </c>
      <c r="BD23" s="35">
        <f t="shared" si="19"/>
        <v>5.1095104390504265</v>
      </c>
      <c r="BE23" s="35">
        <f t="shared" si="20"/>
        <v>7.2663347094557311</v>
      </c>
      <c r="BF23" s="35">
        <f t="shared" si="21"/>
        <v>6.7360418376582478</v>
      </c>
      <c r="BG23" s="35">
        <f t="shared" si="22"/>
        <v>2.4565931190335015</v>
      </c>
      <c r="BH23" s="36"/>
      <c r="BI23" s="50">
        <f t="shared" si="155"/>
        <v>0.37191675957499759</v>
      </c>
      <c r="BJ23" s="50" t="str">
        <f t="shared" si="23"/>
        <v>NO</v>
      </c>
      <c r="BK23" s="35">
        <f t="shared" si="24"/>
        <v>6.3911333361395979</v>
      </c>
      <c r="BL23" s="35">
        <f t="shared" si="25"/>
        <v>5.3752410008792246</v>
      </c>
      <c r="BM23" s="35">
        <f t="shared" si="26"/>
        <v>5.4022658469100078</v>
      </c>
      <c r="BN23" s="35">
        <f t="shared" si="27"/>
        <v>6.8015888699457907</v>
      </c>
      <c r="BO23" s="35">
        <f t="shared" si="28"/>
        <v>5.2111916524593438</v>
      </c>
      <c r="BP23" s="35">
        <f t="shared" si="29"/>
        <v>-1.6458923952177376</v>
      </c>
      <c r="BQ23" s="35">
        <f t="shared" si="30"/>
        <v>6.7811333361395985</v>
      </c>
      <c r="BR23" s="35">
        <f t="shared" si="31"/>
        <v>6.7476530178975107</v>
      </c>
      <c r="BS23" s="23"/>
      <c r="BT23" s="23">
        <f t="shared" si="32"/>
        <v>1.0588788967065077</v>
      </c>
      <c r="BU23" s="23">
        <f t="shared" si="33"/>
        <v>7.045703920710608E-3</v>
      </c>
      <c r="BV23" s="23">
        <f t="shared" si="34"/>
        <v>0.16298274267223647</v>
      </c>
      <c r="BW23" s="23">
        <f t="shared" si="35"/>
        <v>0</v>
      </c>
      <c r="BX23" s="23">
        <f t="shared" si="36"/>
        <v>7.1550394614713395E-2</v>
      </c>
      <c r="BY23" s="23">
        <f t="shared" si="37"/>
        <v>1.9445862149796106E-3</v>
      </c>
      <c r="BZ23" s="23">
        <f t="shared" si="38"/>
        <v>3.2600403545175544E-2</v>
      </c>
      <c r="CA23" s="23">
        <f t="shared" si="39"/>
        <v>8.1672892330621805E-2</v>
      </c>
      <c r="CB23" s="23">
        <f t="shared" si="40"/>
        <v>6.1259280271733461E-2</v>
      </c>
      <c r="CC23" s="23">
        <f t="shared" si="41"/>
        <v>4.4291889692560905E-2</v>
      </c>
      <c r="CD23" s="23">
        <f t="shared" si="42"/>
        <v>2.2603824678101487E-3</v>
      </c>
      <c r="CE23" s="23">
        <f t="shared" si="43"/>
        <v>0.27756374528974326</v>
      </c>
      <c r="CF23" s="22">
        <f t="shared" si="44"/>
        <v>1.8020509177267929</v>
      </c>
      <c r="CG23" s="22">
        <f t="shared" si="156"/>
        <v>1.7952814675413906</v>
      </c>
      <c r="CH23" s="22">
        <f t="shared" si="157"/>
        <v>1.5244871724370497</v>
      </c>
      <c r="CI23" s="23">
        <f t="shared" si="45"/>
        <v>0.58759654696230024</v>
      </c>
      <c r="CJ23" s="23">
        <f t="shared" si="46"/>
        <v>3.9098251061620666E-3</v>
      </c>
      <c r="CK23" s="23">
        <f t="shared" si="47"/>
        <v>9.0442917605142892E-2</v>
      </c>
      <c r="CL23" s="23">
        <f t="shared" si="48"/>
        <v>0</v>
      </c>
      <c r="CM23" s="23">
        <f t="shared" si="49"/>
        <v>3.9704979426980362E-2</v>
      </c>
      <c r="CN23" s="23">
        <f t="shared" si="50"/>
        <v>1.0790961541933674E-3</v>
      </c>
      <c r="CO23" s="23">
        <f t="shared" si="51"/>
        <v>1.8090722756213515E-2</v>
      </c>
      <c r="CP23" s="23">
        <f t="shared" si="52"/>
        <v>4.5322189027626657E-2</v>
      </c>
      <c r="CQ23" s="23">
        <f t="shared" si="53"/>
        <v>3.3994200535137666E-2</v>
      </c>
      <c r="CR23" s="23">
        <f t="shared" si="54"/>
        <v>2.4578600558320046E-2</v>
      </c>
      <c r="CS23" s="23">
        <f t="shared" si="55"/>
        <v>1.2543388455757514E-3</v>
      </c>
      <c r="CT23" s="23">
        <f t="shared" si="56"/>
        <v>0.15402658302234742</v>
      </c>
      <c r="CU23" s="22">
        <f t="shared" si="57"/>
        <v>1</v>
      </c>
      <c r="CV23" s="22">
        <f t="shared" si="58"/>
        <v>0.8459734169776526</v>
      </c>
      <c r="CX23">
        <f t="shared" si="59"/>
        <v>0.58981219148695696</v>
      </c>
      <c r="CY23">
        <f t="shared" si="60"/>
        <v>3.9245678452636103E-3</v>
      </c>
      <c r="CZ23">
        <f t="shared" si="61"/>
        <v>0.18156789965134409</v>
      </c>
      <c r="DA23">
        <f t="shared" si="62"/>
        <v>0</v>
      </c>
      <c r="DB23">
        <f t="shared" si="63"/>
        <v>3.9854694602680055E-2</v>
      </c>
      <c r="DC23">
        <f t="shared" si="64"/>
        <v>1.0831650914564892E-3</v>
      </c>
      <c r="DD23">
        <f t="shared" si="65"/>
        <v>1.8158937266712433E-2</v>
      </c>
      <c r="DE23">
        <f t="shared" si="66"/>
        <v>4.5493084960360856E-2</v>
      </c>
      <c r="DF23">
        <f t="shared" si="67"/>
        <v>6.8244764265992311E-2</v>
      </c>
      <c r="DG23">
        <f t="shared" si="68"/>
        <v>4.9342557691767347E-2</v>
      </c>
      <c r="DH23">
        <f t="shared" si="69"/>
        <v>2.5181371374659225E-3</v>
      </c>
      <c r="DI23" s="22">
        <f t="shared" si="70"/>
        <v>1.0000000000000002</v>
      </c>
      <c r="DJ23" s="22">
        <f t="shared" si="71"/>
        <v>0.72115344607493137</v>
      </c>
      <c r="DK23" s="22">
        <f t="shared" si="72"/>
        <v>4.1062209247009214E-2</v>
      </c>
      <c r="DL23" s="22">
        <f t="shared" si="73"/>
        <v>0.12034013004972489</v>
      </c>
      <c r="DM23" s="22">
        <f t="shared" si="74"/>
        <v>3.2897723609117145E-4</v>
      </c>
      <c r="DN23" s="22">
        <f t="shared" si="75"/>
        <v>0.20362885266345984</v>
      </c>
      <c r="DO23" s="22">
        <f t="shared" si="76"/>
        <v>8.7400881057268717E-3</v>
      </c>
      <c r="DP23" s="22">
        <f t="shared" si="77"/>
        <v>0.3438830499895793</v>
      </c>
      <c r="DQ23" s="22">
        <f t="shared" si="78"/>
        <v>0.20560867657915666</v>
      </c>
      <c r="DR23" s="22">
        <f t="shared" si="79"/>
        <v>3.9690927073568583E-2</v>
      </c>
      <c r="DS23" s="22">
        <f t="shared" si="80"/>
        <v>1.2420909592764023E-2</v>
      </c>
      <c r="DT23" s="22">
        <f t="shared" si="81"/>
        <v>1.6968572666120121</v>
      </c>
      <c r="DU23" s="22">
        <f t="shared" si="82"/>
        <v>0.72115344607493137</v>
      </c>
      <c r="DV23" s="22">
        <f t="shared" si="83"/>
        <v>4.1062209247009214E-2</v>
      </c>
      <c r="DW23" s="22">
        <f t="shared" si="84"/>
        <v>0.24068026009944979</v>
      </c>
      <c r="DX23" s="22">
        <f t="shared" si="85"/>
        <v>6.579544721823429E-4</v>
      </c>
      <c r="DZ23" s="22">
        <f t="shared" si="86"/>
        <v>0.20362885266345984</v>
      </c>
      <c r="EA23" s="22">
        <f t="shared" si="87"/>
        <v>8.7400881057268717E-3</v>
      </c>
      <c r="EB23" s="22">
        <f t="shared" si="88"/>
        <v>0.3438830499895793</v>
      </c>
      <c r="EC23" s="22">
        <f t="shared" si="89"/>
        <v>0.20560867657915666</v>
      </c>
      <c r="ED23" s="22">
        <f t="shared" si="90"/>
        <v>7.9381854147137165E-2</v>
      </c>
      <c r="EE23" s="22">
        <f t="shared" si="91"/>
        <v>2.4841819185528045E-2</v>
      </c>
      <c r="EG23" s="22">
        <f t="shared" si="92"/>
        <v>1.4423068921498627</v>
      </c>
      <c r="EH23" s="22">
        <f t="shared" si="93"/>
        <v>8.2124418494018428E-2</v>
      </c>
      <c r="EI23" s="22">
        <f t="shared" si="94"/>
        <v>0.3610203901491747</v>
      </c>
      <c r="EJ23" s="22">
        <f t="shared" si="95"/>
        <v>9.8693170827351441E-4</v>
      </c>
      <c r="EL23" s="22">
        <f t="shared" si="96"/>
        <v>0.20362885266345984</v>
      </c>
      <c r="EM23" s="22">
        <f t="shared" si="97"/>
        <v>8.7400881057268717E-3</v>
      </c>
      <c r="EN23" s="22">
        <f t="shared" si="98"/>
        <v>0.3438830499895793</v>
      </c>
      <c r="EO23" s="22">
        <f t="shared" si="99"/>
        <v>0.20560867657915666</v>
      </c>
      <c r="EP23" s="22">
        <f t="shared" si="100"/>
        <v>3.9690927073568583E-2</v>
      </c>
      <c r="EQ23" s="22">
        <f t="shared" si="101"/>
        <v>1.2420909592764023E-2</v>
      </c>
      <c r="ER23" s="22">
        <f t="shared" si="102"/>
        <v>2.7004111365055841</v>
      </c>
      <c r="ES23" s="22">
        <f t="shared" si="103"/>
        <v>8.5172215775123465</v>
      </c>
      <c r="EU23" s="86">
        <f t="shared" si="104"/>
        <v>6.1422236916067918</v>
      </c>
      <c r="EV23" s="86">
        <f t="shared" si="105"/>
        <v>0.34973593461895386</v>
      </c>
      <c r="EW23" s="86">
        <f t="shared" si="106"/>
        <v>2.0499271046003176</v>
      </c>
      <c r="EX23" s="86">
        <f t="shared" si="107"/>
        <v>5.6039440274921982E-3</v>
      </c>
      <c r="EY23" s="86"/>
      <c r="EZ23" s="86">
        <f t="shared" si="108"/>
        <v>1.7343520577093026</v>
      </c>
      <c r="FA23" s="86">
        <f t="shared" si="109"/>
        <v>7.4441267003455922E-2</v>
      </c>
      <c r="FB23" s="86">
        <f t="shared" si="110"/>
        <v>2.9289281335120019</v>
      </c>
      <c r="FC23" s="86">
        <f t="shared" si="111"/>
        <v>1.7512146566837505</v>
      </c>
      <c r="FD23" s="86">
        <f t="shared" si="112"/>
        <v>0.67611284100493463</v>
      </c>
      <c r="FE23" s="86">
        <f t="shared" si="113"/>
        <v>0.21158327839163965</v>
      </c>
      <c r="FF23" s="22">
        <f t="shared" si="114"/>
        <v>15.036426789762066</v>
      </c>
      <c r="FG23" s="22">
        <f t="shared" si="115"/>
        <v>15.92412290915864</v>
      </c>
      <c r="FH23" s="22">
        <f t="shared" si="116"/>
        <v>13.285212133078316</v>
      </c>
      <c r="FI23" s="22" t="str">
        <f t="shared" si="117"/>
        <v>Good</v>
      </c>
      <c r="FJ23" s="22">
        <f t="shared" si="118"/>
        <v>157.89790876400838</v>
      </c>
      <c r="FK23" s="22">
        <f t="shared" si="158"/>
        <v>0.62808324042500252</v>
      </c>
      <c r="FL23" s="22">
        <f t="shared" si="119"/>
        <v>0.20035623926390608</v>
      </c>
      <c r="FM23" s="87"/>
      <c r="FN23" s="87">
        <f t="shared" si="120"/>
        <v>-11.447726522620579</v>
      </c>
      <c r="FO23" s="22">
        <f t="shared" si="121"/>
        <v>0.10527150499626813</v>
      </c>
      <c r="FP23" s="88">
        <f t="shared" si="122"/>
        <v>0.15082310153487105</v>
      </c>
      <c r="FQ23" s="88">
        <f t="shared" si="123"/>
        <v>1.5835289561744315</v>
      </c>
      <c r="FR23" s="87">
        <f t="shared" si="124"/>
        <v>6.1422236916067918</v>
      </c>
      <c r="FS23" s="87">
        <f t="shared" si="125"/>
        <v>1.8577763083932082</v>
      </c>
      <c r="FT23" s="87">
        <f t="shared" si="126"/>
        <v>0</v>
      </c>
      <c r="FU23" s="86">
        <f t="shared" si="127"/>
        <v>8</v>
      </c>
      <c r="FV23" s="87">
        <f t="shared" si="128"/>
        <v>0.1921507962071094</v>
      </c>
      <c r="FW23" s="87">
        <f t="shared" si="129"/>
        <v>5.6039440274921982E-3</v>
      </c>
      <c r="FX23" s="87">
        <f t="shared" si="130"/>
        <v>0.15082310153487105</v>
      </c>
      <c r="FY23" s="87">
        <f t="shared" si="131"/>
        <v>0.34973593461895386</v>
      </c>
      <c r="FZ23" s="87">
        <f t="shared" si="132"/>
        <v>0.69831377638842651</v>
      </c>
      <c r="GA23" s="87">
        <f t="shared" si="133"/>
        <v>2.9289281335120019</v>
      </c>
      <c r="GB23" s="87">
        <f t="shared" si="134"/>
        <v>3.6272419099004285</v>
      </c>
      <c r="GC23" s="87">
        <f t="shared" si="135"/>
        <v>1.3727580900995715</v>
      </c>
      <c r="GD23" s="87">
        <f t="shared" si="136"/>
        <v>5</v>
      </c>
      <c r="GE23" s="87">
        <f t="shared" si="137"/>
        <v>0</v>
      </c>
      <c r="GF23" s="87">
        <f t="shared" si="138"/>
        <v>5</v>
      </c>
      <c r="GG23" s="86">
        <f t="shared" si="139"/>
        <v>0</v>
      </c>
      <c r="GH23" s="86">
        <f t="shared" si="140"/>
        <v>0.21077086607485995</v>
      </c>
      <c r="GI23" s="86">
        <f t="shared" si="141"/>
        <v>7.4441267003455922E-2</v>
      </c>
      <c r="GJ23" s="89">
        <f t="shared" si="142"/>
        <v>0.28521213307831589</v>
      </c>
      <c r="GK23" s="89">
        <f t="shared" si="143"/>
        <v>0.28521213307831589</v>
      </c>
      <c r="GL23" s="87">
        <f t="shared" si="144"/>
        <v>1.7147878669216841</v>
      </c>
      <c r="GM23" s="87">
        <f t="shared" si="145"/>
        <v>0</v>
      </c>
      <c r="GN23" s="89">
        <f t="shared" si="146"/>
        <v>2</v>
      </c>
      <c r="GO23" s="87"/>
      <c r="GP23" s="86" t="str">
        <f t="shared" si="159"/>
        <v>CALCIC</v>
      </c>
      <c r="GQ23" s="87"/>
      <c r="GR23" s="87">
        <f t="shared" si="147"/>
        <v>0.67611284100493463</v>
      </c>
      <c r="GS23" s="87">
        <f t="shared" si="148"/>
        <v>0.21158327839163965</v>
      </c>
      <c r="GT23" s="87">
        <f t="shared" si="149"/>
        <v>0.88769611939657422</v>
      </c>
      <c r="GU23" s="86">
        <f t="shared" si="150"/>
        <v>0</v>
      </c>
      <c r="GV23" s="86">
        <f t="shared" si="151"/>
        <v>0.67611284100493463</v>
      </c>
    </row>
    <row r="24" spans="1:204" s="22" customFormat="1" ht="18" customHeight="1" x14ac:dyDescent="0.35">
      <c r="A24" s="97">
        <v>11.7</v>
      </c>
      <c r="B24" s="97" t="s">
        <v>161</v>
      </c>
      <c r="C24" s="36">
        <f t="shared" si="0"/>
        <v>969.39904815975001</v>
      </c>
      <c r="D24" s="36">
        <f t="shared" si="152"/>
        <v>5.7619799597486772</v>
      </c>
      <c r="F24" s="95">
        <v>59.534467185403116</v>
      </c>
      <c r="G24" s="95">
        <v>0.65611031095290251</v>
      </c>
      <c r="H24" s="95">
        <v>17.862253871890896</v>
      </c>
      <c r="I24" s="95">
        <v>6.5140225408538726</v>
      </c>
      <c r="J24" s="95">
        <v>0.16752052199179854</v>
      </c>
      <c r="K24" s="95">
        <v>1.8774243768487413</v>
      </c>
      <c r="L24" s="95">
        <v>6.5196417231325574</v>
      </c>
      <c r="M24" s="95">
        <v>3.8053492647966252</v>
      </c>
      <c r="N24" s="95">
        <v>3.1319218164407521</v>
      </c>
      <c r="O24" s="95">
        <v>0</v>
      </c>
      <c r="P24" s="95">
        <v>0.32125653683259137</v>
      </c>
      <c r="Q24" s="95">
        <f t="shared" si="160"/>
        <v>5</v>
      </c>
      <c r="S24" s="98">
        <v>39.65</v>
      </c>
      <c r="T24" s="98">
        <v>2.02</v>
      </c>
      <c r="U24" s="98">
        <v>14.58</v>
      </c>
      <c r="V24" s="98">
        <v>12.26</v>
      </c>
      <c r="W24" s="98">
        <v>0.13</v>
      </c>
      <c r="X24" s="98">
        <v>13.09</v>
      </c>
      <c r="Y24" s="98">
        <v>11.96</v>
      </c>
      <c r="Z24" s="98">
        <v>2.13</v>
      </c>
      <c r="AA24" s="98">
        <v>1.1599999999999999</v>
      </c>
      <c r="AB24" s="98">
        <v>0.01</v>
      </c>
      <c r="AD24" s="35">
        <f t="shared" si="1"/>
        <v>13.518811097916611</v>
      </c>
      <c r="AE24" s="36"/>
      <c r="AF24" s="50">
        <f t="shared" si="2"/>
        <v>0.26993799583010908</v>
      </c>
      <c r="AG24" s="35">
        <f t="shared" si="3"/>
        <v>53.105290465119687</v>
      </c>
      <c r="AH24" s="35">
        <f t="shared" si="4"/>
        <v>9</v>
      </c>
      <c r="AI24" s="35">
        <f t="shared" si="5"/>
        <v>5.7619799597486772</v>
      </c>
      <c r="AJ24" s="35">
        <f t="shared" si="6"/>
        <v>9.5901228145533182</v>
      </c>
      <c r="AK24" s="36"/>
      <c r="AL24" s="37">
        <f t="shared" si="7"/>
        <v>975.82496756237549</v>
      </c>
      <c r="AM24" s="37">
        <f t="shared" si="8"/>
        <v>976.12225936950085</v>
      </c>
      <c r="AN24" s="37">
        <f t="shared" si="9"/>
        <v>1001.9640150688742</v>
      </c>
      <c r="AO24" s="37">
        <f t="shared" si="153"/>
        <v>946.49865135423261</v>
      </c>
      <c r="AP24" s="37">
        <f t="shared" si="10"/>
        <v>956.14137317107884</v>
      </c>
      <c r="AQ24" s="37">
        <f t="shared" si="11"/>
        <v>943.50091891734598</v>
      </c>
      <c r="AR24" s="37">
        <f t="shared" si="12"/>
        <v>970.35971401833831</v>
      </c>
      <c r="AS24" s="37">
        <f t="shared" si="13"/>
        <v>984.78048581625319</v>
      </c>
      <c r="AT24"/>
      <c r="AU24" s="35">
        <f t="shared" si="154"/>
        <v>7.9371894625460309</v>
      </c>
      <c r="AV24"/>
      <c r="AW24" s="37">
        <f t="shared" si="14"/>
        <v>910.93264080958841</v>
      </c>
      <c r="AX24" s="37">
        <f t="shared" si="15"/>
        <v>943.12520880468833</v>
      </c>
      <c r="AY24" s="38"/>
      <c r="AZ24" s="50">
        <f t="shared" si="16"/>
        <v>-0.41294101148575141</v>
      </c>
      <c r="BA24" s="38"/>
      <c r="BB24" s="35">
        <f t="shared" si="17"/>
        <v>7.7011834307935203</v>
      </c>
      <c r="BC24" s="35">
        <f t="shared" si="18"/>
        <v>6.0609878251160589</v>
      </c>
      <c r="BD24" s="35">
        <f t="shared" si="19"/>
        <v>5.6894137328098342</v>
      </c>
      <c r="BE24" s="35">
        <f t="shared" si="20"/>
        <v>8.1348180563510919</v>
      </c>
      <c r="BF24" s="35">
        <f t="shared" si="21"/>
        <v>11.447996244564758</v>
      </c>
      <c r="BG24" s="35">
        <f t="shared" si="22"/>
        <v>4.613800928236687</v>
      </c>
      <c r="BH24" s="36"/>
      <c r="BI24" s="50">
        <f t="shared" si="155"/>
        <v>0.34443851201809855</v>
      </c>
      <c r="BJ24" s="50" t="str">
        <f t="shared" si="23"/>
        <v>NO</v>
      </c>
      <c r="BK24" s="35">
        <f t="shared" si="24"/>
        <v>9.020620461828857</v>
      </c>
      <c r="BL24" s="35">
        <f t="shared" si="25"/>
        <v>8.485585656695692</v>
      </c>
      <c r="BM24" s="35">
        <f t="shared" si="26"/>
        <v>11.710718571062161</v>
      </c>
      <c r="BN24" s="35">
        <f t="shared" si="27"/>
        <v>9.7499601202216191</v>
      </c>
      <c r="BO24" s="35">
        <f t="shared" si="28"/>
        <v>7.4224700901662155</v>
      </c>
      <c r="BP24" s="35">
        <f t="shared" si="29"/>
        <v>-0.88465897670334392</v>
      </c>
      <c r="BQ24" s="35">
        <f t="shared" si="30"/>
        <v>9.4106204618288576</v>
      </c>
      <c r="BR24" s="35">
        <f t="shared" si="31"/>
        <v>9.2359947113927152</v>
      </c>
      <c r="BS24" s="23"/>
      <c r="BT24" s="23">
        <f t="shared" si="32"/>
        <v>0.99084897694411211</v>
      </c>
      <c r="BU24" s="23">
        <f t="shared" si="33"/>
        <v>8.2138228284964528E-3</v>
      </c>
      <c r="BV24" s="23">
        <f t="shared" si="34"/>
        <v>0.17518711930925449</v>
      </c>
      <c r="BW24" s="23">
        <f t="shared" si="35"/>
        <v>0</v>
      </c>
      <c r="BX24" s="23">
        <f t="shared" si="36"/>
        <v>9.066595599576141E-2</v>
      </c>
      <c r="BY24" s="23">
        <f t="shared" si="37"/>
        <v>2.3615227769768956E-3</v>
      </c>
      <c r="BZ24" s="23">
        <f t="shared" si="38"/>
        <v>4.6581127044410565E-2</v>
      </c>
      <c r="CA24" s="23">
        <f t="shared" si="39"/>
        <v>0.11626148364818194</v>
      </c>
      <c r="CB24" s="23">
        <f t="shared" si="40"/>
        <v>6.1397495999390518E-2</v>
      </c>
      <c r="CC24" s="23">
        <f t="shared" si="41"/>
        <v>3.3248989515910994E-2</v>
      </c>
      <c r="CD24" s="23">
        <f t="shared" si="42"/>
        <v>2.2633741507330106E-3</v>
      </c>
      <c r="CE24" s="23">
        <f t="shared" si="43"/>
        <v>0.27756374528974326</v>
      </c>
      <c r="CF24" s="22">
        <f t="shared" si="44"/>
        <v>1.8045936135029716</v>
      </c>
      <c r="CG24" s="22">
        <f t="shared" si="156"/>
        <v>1.7991268471885173</v>
      </c>
      <c r="CH24" s="22">
        <f t="shared" si="157"/>
        <v>1.5270298682132284</v>
      </c>
      <c r="CI24" s="23">
        <f t="shared" si="45"/>
        <v>0.54907042202190548</v>
      </c>
      <c r="CJ24" s="23">
        <f t="shared" si="46"/>
        <v>4.5516191385340547E-3</v>
      </c>
      <c r="CK24" s="23">
        <f t="shared" si="47"/>
        <v>9.707843250602638E-2</v>
      </c>
      <c r="CL24" s="23">
        <f t="shared" si="48"/>
        <v>0</v>
      </c>
      <c r="CM24" s="23">
        <f t="shared" si="49"/>
        <v>5.0241758209354379E-2</v>
      </c>
      <c r="CN24" s="23">
        <f t="shared" si="50"/>
        <v>1.3086174966522495E-3</v>
      </c>
      <c r="CO24" s="23">
        <f t="shared" si="51"/>
        <v>2.58125301429999E-2</v>
      </c>
      <c r="CP24" s="23">
        <f t="shared" si="52"/>
        <v>6.4425299290792645E-2</v>
      </c>
      <c r="CQ24" s="23">
        <f t="shared" si="53"/>
        <v>3.4022893320679155E-2</v>
      </c>
      <c r="CR24" s="23">
        <f t="shared" si="54"/>
        <v>1.8424641020074319E-2</v>
      </c>
      <c r="CS24" s="23">
        <f t="shared" si="55"/>
        <v>1.2542292812061332E-3</v>
      </c>
      <c r="CT24" s="23">
        <f t="shared" si="56"/>
        <v>0.15380955757177525</v>
      </c>
      <c r="CU24" s="22">
        <f t="shared" si="57"/>
        <v>1</v>
      </c>
      <c r="CV24" s="22">
        <f t="shared" si="58"/>
        <v>0.84619044242822472</v>
      </c>
      <c r="CX24">
        <f t="shared" si="59"/>
        <v>0.55073880893529259</v>
      </c>
      <c r="CY24">
        <f t="shared" si="60"/>
        <v>4.5654495353299488E-3</v>
      </c>
      <c r="CZ24">
        <f t="shared" si="61"/>
        <v>0.19474682353055667</v>
      </c>
      <c r="DA24">
        <f t="shared" si="62"/>
        <v>0</v>
      </c>
      <c r="DB24">
        <f t="shared" si="63"/>
        <v>5.0394421125694637E-2</v>
      </c>
      <c r="DC24">
        <f t="shared" si="64"/>
        <v>1.3125938177551129E-3</v>
      </c>
      <c r="DD24">
        <f t="shared" si="65"/>
        <v>2.5890963228747635E-2</v>
      </c>
      <c r="DE24">
        <f t="shared" si="66"/>
        <v>6.4621059837922448E-2</v>
      </c>
      <c r="DF24">
        <f t="shared" si="67"/>
        <v>6.8252548279556777E-2</v>
      </c>
      <c r="DG24">
        <f t="shared" si="68"/>
        <v>3.6961251028929894E-2</v>
      </c>
      <c r="DH24">
        <f t="shared" si="69"/>
        <v>2.5160806802143709E-3</v>
      </c>
      <c r="DI24" s="22">
        <f t="shared" si="70"/>
        <v>0.99999999999999989</v>
      </c>
      <c r="DJ24" s="22">
        <f t="shared" si="71"/>
        <v>0.65990616517126766</v>
      </c>
      <c r="DK24" s="22">
        <f t="shared" si="72"/>
        <v>2.5288311792365434E-2</v>
      </c>
      <c r="DL24" s="22">
        <f t="shared" si="73"/>
        <v>0.14299585135492984</v>
      </c>
      <c r="DM24" s="22">
        <f t="shared" si="74"/>
        <v>6.579544721823429E-5</v>
      </c>
      <c r="DN24" s="22">
        <f t="shared" si="75"/>
        <v>0.17064181364689113</v>
      </c>
      <c r="DO24" s="22">
        <f t="shared" si="76"/>
        <v>1.8325991189427314E-3</v>
      </c>
      <c r="DP24" s="22">
        <f t="shared" si="77"/>
        <v>0.32477843610126933</v>
      </c>
      <c r="DQ24" s="22">
        <f t="shared" si="78"/>
        <v>0.21327664977334901</v>
      </c>
      <c r="DR24" s="22">
        <f t="shared" si="79"/>
        <v>3.4366534417358159E-2</v>
      </c>
      <c r="DS24" s="22">
        <f t="shared" si="80"/>
        <v>1.2314747972313049E-2</v>
      </c>
      <c r="DT24" s="22">
        <f t="shared" si="81"/>
        <v>1.5854669047959047</v>
      </c>
      <c r="DU24" s="22">
        <f t="shared" si="82"/>
        <v>0.65990616517126766</v>
      </c>
      <c r="DV24" s="22">
        <f t="shared" si="83"/>
        <v>2.5288311792365434E-2</v>
      </c>
      <c r="DW24" s="22">
        <f t="shared" si="84"/>
        <v>0.28599170270985969</v>
      </c>
      <c r="DX24" s="22">
        <f t="shared" si="85"/>
        <v>1.3159089443646858E-4</v>
      </c>
      <c r="DZ24" s="22">
        <f t="shared" si="86"/>
        <v>0.17064181364689113</v>
      </c>
      <c r="EA24" s="22">
        <f t="shared" si="87"/>
        <v>1.8325991189427314E-3</v>
      </c>
      <c r="EB24" s="22">
        <f t="shared" si="88"/>
        <v>0.32477843610126933</v>
      </c>
      <c r="EC24" s="22">
        <f t="shared" si="89"/>
        <v>0.21327664977334901</v>
      </c>
      <c r="ED24" s="22">
        <f t="shared" si="90"/>
        <v>6.8733068834716318E-2</v>
      </c>
      <c r="EE24" s="22">
        <f t="shared" si="91"/>
        <v>2.4629495944626097E-2</v>
      </c>
      <c r="EG24" s="22">
        <f t="shared" si="92"/>
        <v>1.3198123303425353</v>
      </c>
      <c r="EH24" s="22">
        <f t="shared" si="93"/>
        <v>5.0576623584730869E-2</v>
      </c>
      <c r="EI24" s="22">
        <f t="shared" si="94"/>
        <v>0.4289875540647895</v>
      </c>
      <c r="EJ24" s="22">
        <f t="shared" si="95"/>
        <v>1.9738634165470287E-4</v>
      </c>
      <c r="EL24" s="22">
        <f t="shared" si="96"/>
        <v>0.17064181364689113</v>
      </c>
      <c r="EM24" s="22">
        <f t="shared" si="97"/>
        <v>1.8325991189427314E-3</v>
      </c>
      <c r="EN24" s="22">
        <f t="shared" si="98"/>
        <v>0.32477843610126933</v>
      </c>
      <c r="EO24" s="22">
        <f t="shared" si="99"/>
        <v>0.21327664977334901</v>
      </c>
      <c r="EP24" s="22">
        <f t="shared" si="100"/>
        <v>3.4366534417358159E-2</v>
      </c>
      <c r="EQ24" s="22">
        <f t="shared" si="101"/>
        <v>1.2314747972313049E-2</v>
      </c>
      <c r="ER24" s="22">
        <f t="shared" si="102"/>
        <v>2.5567846753638332</v>
      </c>
      <c r="ES24" s="22">
        <f t="shared" si="103"/>
        <v>8.995673441576411</v>
      </c>
      <c r="EU24" s="86">
        <f t="shared" si="104"/>
        <v>5.9363003639637091</v>
      </c>
      <c r="EV24" s="86">
        <f t="shared" si="105"/>
        <v>0.22748539477288532</v>
      </c>
      <c r="EW24" s="86">
        <f t="shared" si="106"/>
        <v>2.5726879645783014</v>
      </c>
      <c r="EX24" s="86">
        <f t="shared" si="107"/>
        <v>1.1837487142354255E-3</v>
      </c>
      <c r="EY24" s="86"/>
      <c r="EZ24" s="86">
        <f t="shared" si="108"/>
        <v>1.5350380310457696</v>
      </c>
      <c r="FA24" s="86">
        <f t="shared" si="109"/>
        <v>1.6485463223329458E-2</v>
      </c>
      <c r="FB24" s="86">
        <f t="shared" si="110"/>
        <v>2.9216007520329099</v>
      </c>
      <c r="FC24" s="86">
        <f t="shared" si="111"/>
        <v>1.9185670940745094</v>
      </c>
      <c r="FD24" s="86">
        <f t="shared" si="112"/>
        <v>0.61830024187450094</v>
      </c>
      <c r="FE24" s="86">
        <f t="shared" si="113"/>
        <v>0.2215589025484869</v>
      </c>
      <c r="FF24" s="22">
        <f t="shared" si="114"/>
        <v>15.129348812405649</v>
      </c>
      <c r="FG24" s="22">
        <f t="shared" si="115"/>
        <v>15.969207956828637</v>
      </c>
      <c r="FH24" s="22">
        <f t="shared" si="116"/>
        <v>13.210781718331139</v>
      </c>
      <c r="FI24" s="22" t="str">
        <f t="shared" si="117"/>
        <v>Good</v>
      </c>
      <c r="FJ24" s="22">
        <f t="shared" si="118"/>
        <v>111.05200701491761</v>
      </c>
      <c r="FK24" s="22">
        <f t="shared" si="158"/>
        <v>0.65556148798190161</v>
      </c>
      <c r="FL24" s="22">
        <f t="shared" si="119"/>
        <v>0.24914827155417896</v>
      </c>
      <c r="FM24" s="87"/>
      <c r="FN24" s="87">
        <f t="shared" si="120"/>
        <v>-10.83487937261722</v>
      </c>
      <c r="FO24" s="22">
        <f t="shared" si="121"/>
        <v>0.10965202529777959</v>
      </c>
      <c r="FP24" s="88">
        <f t="shared" si="122"/>
        <v>0.13804598527419795</v>
      </c>
      <c r="FQ24" s="88">
        <f t="shared" si="123"/>
        <v>1.3969920457715717</v>
      </c>
      <c r="FR24" s="87">
        <f t="shared" si="124"/>
        <v>5.9363003639637091</v>
      </c>
      <c r="FS24" s="87">
        <f t="shared" si="125"/>
        <v>2.0636996360362909</v>
      </c>
      <c r="FT24" s="87">
        <f t="shared" si="126"/>
        <v>0</v>
      </c>
      <c r="FU24" s="86">
        <f t="shared" si="127"/>
        <v>8</v>
      </c>
      <c r="FV24" s="87">
        <f t="shared" si="128"/>
        <v>0.50898832854201048</v>
      </c>
      <c r="FW24" s="87">
        <f t="shared" si="129"/>
        <v>1.1837487142354255E-3</v>
      </c>
      <c r="FX24" s="87">
        <f t="shared" si="130"/>
        <v>0.13804598527419795</v>
      </c>
      <c r="FY24" s="87">
        <f t="shared" si="131"/>
        <v>0.22748539477288532</v>
      </c>
      <c r="FZ24" s="87">
        <f t="shared" si="132"/>
        <v>0.87570345730332921</v>
      </c>
      <c r="GA24" s="87">
        <f t="shared" si="133"/>
        <v>2.9216007520329099</v>
      </c>
      <c r="GB24" s="87">
        <f t="shared" si="134"/>
        <v>3.797304209336239</v>
      </c>
      <c r="GC24" s="87">
        <f t="shared" si="135"/>
        <v>1.202695790663761</v>
      </c>
      <c r="GD24" s="87">
        <f t="shared" si="136"/>
        <v>5</v>
      </c>
      <c r="GE24" s="87">
        <f t="shared" si="137"/>
        <v>0</v>
      </c>
      <c r="GF24" s="87">
        <f t="shared" si="138"/>
        <v>5</v>
      </c>
      <c r="GG24" s="86">
        <f t="shared" si="139"/>
        <v>0</v>
      </c>
      <c r="GH24" s="86">
        <f t="shared" si="140"/>
        <v>0.19429625510781068</v>
      </c>
      <c r="GI24" s="86">
        <f t="shared" si="141"/>
        <v>1.6485463223329458E-2</v>
      </c>
      <c r="GJ24" s="89">
        <f t="shared" si="142"/>
        <v>0.21078171833114012</v>
      </c>
      <c r="GK24" s="89">
        <f t="shared" si="143"/>
        <v>0.21078171833114012</v>
      </c>
      <c r="GL24" s="87">
        <f t="shared" si="144"/>
        <v>1.7892182816688598</v>
      </c>
      <c r="GM24" s="87">
        <f t="shared" si="145"/>
        <v>0</v>
      </c>
      <c r="GN24" s="89">
        <f t="shared" si="146"/>
        <v>2</v>
      </c>
      <c r="GO24" s="87"/>
      <c r="GP24" s="86" t="str">
        <f t="shared" si="159"/>
        <v>CALCIC</v>
      </c>
      <c r="GQ24" s="87"/>
      <c r="GR24" s="87">
        <f t="shared" si="147"/>
        <v>0.61830024187450094</v>
      </c>
      <c r="GS24" s="87">
        <f t="shared" si="148"/>
        <v>0.2215589025484869</v>
      </c>
      <c r="GT24" s="87">
        <f t="shared" si="149"/>
        <v>0.83985914442298781</v>
      </c>
      <c r="GU24" s="86">
        <f t="shared" si="150"/>
        <v>0</v>
      </c>
      <c r="GV24" s="86">
        <f t="shared" si="151"/>
        <v>0.61830024187450094</v>
      </c>
    </row>
    <row r="25" spans="1:204" s="22" customFormat="1" ht="18" customHeight="1" x14ac:dyDescent="0.35">
      <c r="A25" s="97">
        <v>12.3</v>
      </c>
      <c r="B25" s="97" t="s">
        <v>161</v>
      </c>
      <c r="C25" s="36">
        <f t="shared" si="0"/>
        <v>960.51457843472429</v>
      </c>
      <c r="D25" s="36">
        <f t="shared" si="152"/>
        <v>5.8995657085457314</v>
      </c>
      <c r="F25" s="95">
        <v>59.437464719417001</v>
      </c>
      <c r="G25" s="95">
        <v>0.65832463102107697</v>
      </c>
      <c r="H25" s="95">
        <v>17.891784419361223</v>
      </c>
      <c r="I25" s="95">
        <v>6.546614756040146</v>
      </c>
      <c r="J25" s="95">
        <v>0.16822240975381189</v>
      </c>
      <c r="K25" s="95">
        <v>1.8907966092984347</v>
      </c>
      <c r="L25" s="95">
        <v>6.5656718905964286</v>
      </c>
      <c r="M25" s="95">
        <v>3.8055525581309411</v>
      </c>
      <c r="N25" s="95">
        <v>3.1072365728156863</v>
      </c>
      <c r="O25" s="95">
        <v>0</v>
      </c>
      <c r="P25" s="95">
        <v>0.32126661387286998</v>
      </c>
      <c r="Q25" s="95">
        <f t="shared" si="160"/>
        <v>5</v>
      </c>
      <c r="S25" s="98">
        <v>39.07</v>
      </c>
      <c r="T25" s="98">
        <v>1.81</v>
      </c>
      <c r="U25" s="98">
        <v>14.36</v>
      </c>
      <c r="V25" s="98">
        <v>11.72</v>
      </c>
      <c r="W25" s="98">
        <v>0</v>
      </c>
      <c r="X25" s="98">
        <v>12.54</v>
      </c>
      <c r="Y25" s="98">
        <v>11.66</v>
      </c>
      <c r="Z25" s="98">
        <v>1.98</v>
      </c>
      <c r="AA25" s="98">
        <v>1.05</v>
      </c>
      <c r="AB25" s="98">
        <v>0</v>
      </c>
      <c r="AD25" s="35">
        <f t="shared" si="1"/>
        <v>13.298500663373581</v>
      </c>
      <c r="AE25" s="36"/>
      <c r="AF25" s="50">
        <f t="shared" si="2"/>
        <v>0.2699343198776768</v>
      </c>
      <c r="AG25" s="35">
        <f t="shared" si="3"/>
        <v>54.037494320022375</v>
      </c>
      <c r="AH25" s="35">
        <f t="shared" si="4"/>
        <v>8.6999999999999993</v>
      </c>
      <c r="AI25" s="35">
        <f t="shared" si="5"/>
        <v>5.8995657085457314</v>
      </c>
      <c r="AJ25" s="35">
        <f t="shared" si="6"/>
        <v>9.1941764650821654</v>
      </c>
      <c r="AK25" s="36"/>
      <c r="AL25" s="37">
        <f t="shared" si="7"/>
        <v>964.69486450788281</v>
      </c>
      <c r="AM25" s="37">
        <f t="shared" si="8"/>
        <v>965.41343671365928</v>
      </c>
      <c r="AN25" s="37">
        <f t="shared" si="9"/>
        <v>991.02102551558232</v>
      </c>
      <c r="AO25" s="37">
        <f t="shared" si="153"/>
        <v>946.59760192314229</v>
      </c>
      <c r="AP25" s="37">
        <f t="shared" si="10"/>
        <v>951.55903188591424</v>
      </c>
      <c r="AQ25" s="37">
        <f t="shared" si="11"/>
        <v>941.92886985261691</v>
      </c>
      <c r="AR25" s="37">
        <f t="shared" si="12"/>
        <v>953.04800225328916</v>
      </c>
      <c r="AS25" s="37">
        <f t="shared" si="13"/>
        <v>969.85379482570681</v>
      </c>
      <c r="AT25"/>
      <c r="AU25" s="35">
        <f t="shared" si="154"/>
        <v>8.0760964385757763</v>
      </c>
      <c r="AV25"/>
      <c r="AW25" s="37">
        <f t="shared" si="14"/>
        <v>912.20530619993065</v>
      </c>
      <c r="AX25" s="37">
        <f t="shared" si="15"/>
        <v>943.44293385002015</v>
      </c>
      <c r="AY25" s="38"/>
      <c r="AZ25" s="50">
        <f t="shared" si="16"/>
        <v>-0.43157925020023447</v>
      </c>
      <c r="BA25" s="38"/>
      <c r="BB25" s="35">
        <f t="shared" si="17"/>
        <v>5.8855173220098749</v>
      </c>
      <c r="BC25" s="35">
        <f t="shared" si="18"/>
        <v>6.0000507757434924</v>
      </c>
      <c r="BD25" s="35">
        <f t="shared" si="19"/>
        <v>5.3294273505518648</v>
      </c>
      <c r="BE25" s="35">
        <f t="shared" si="20"/>
        <v>7.1861499873426258</v>
      </c>
      <c r="BF25" s="35">
        <f t="shared" si="21"/>
        <v>11.703551922062863</v>
      </c>
      <c r="BG25" s="35">
        <f t="shared" si="22"/>
        <v>4.7937080917966943</v>
      </c>
      <c r="BH25" s="36"/>
      <c r="BI25" s="50">
        <f t="shared" si="155"/>
        <v>0.3439599497575449</v>
      </c>
      <c r="BJ25" s="50" t="str">
        <f t="shared" si="23"/>
        <v>NO</v>
      </c>
      <c r="BK25" s="35">
        <f t="shared" si="24"/>
        <v>9.148216558075875</v>
      </c>
      <c r="BL25" s="35">
        <f t="shared" si="25"/>
        <v>8.6545975942262157</v>
      </c>
      <c r="BM25" s="35">
        <f t="shared" si="26"/>
        <v>12.158733583079831</v>
      </c>
      <c r="BN25" s="35">
        <f t="shared" si="27"/>
        <v>9.8930300969280172</v>
      </c>
      <c r="BO25" s="35">
        <f t="shared" si="28"/>
        <v>7.5297725726960136</v>
      </c>
      <c r="BP25" s="35">
        <f t="shared" si="29"/>
        <v>-0.34565942829392604</v>
      </c>
      <c r="BQ25" s="35">
        <f t="shared" si="30"/>
        <v>9.5382165580758755</v>
      </c>
      <c r="BR25" s="35">
        <f t="shared" si="31"/>
        <v>9.3567417130101695</v>
      </c>
      <c r="BS25" s="23"/>
      <c r="BT25" s="23">
        <f t="shared" si="32"/>
        <v>0.98923453746514489</v>
      </c>
      <c r="BU25" s="23">
        <f t="shared" si="33"/>
        <v>8.2415438266608531E-3</v>
      </c>
      <c r="BV25" s="23">
        <f t="shared" si="34"/>
        <v>0.17547674521985096</v>
      </c>
      <c r="BW25" s="23">
        <f t="shared" si="35"/>
        <v>0</v>
      </c>
      <c r="BX25" s="23">
        <f t="shared" si="36"/>
        <v>9.1119593410945374E-2</v>
      </c>
      <c r="BY25" s="23">
        <f t="shared" si="37"/>
        <v>2.371417230009683E-3</v>
      </c>
      <c r="BZ25" s="23">
        <f t="shared" si="38"/>
        <v>4.6912908002561378E-2</v>
      </c>
      <c r="CA25" s="23">
        <f t="shared" si="39"/>
        <v>0.11708231641617531</v>
      </c>
      <c r="CB25" s="23">
        <f t="shared" si="40"/>
        <v>6.1400776040409576E-2</v>
      </c>
      <c r="CC25" s="23">
        <f t="shared" si="41"/>
        <v>3.2986926969464592E-2</v>
      </c>
      <c r="CD25" s="23">
        <f t="shared" si="42"/>
        <v>2.2634451473038737E-3</v>
      </c>
      <c r="CE25" s="23">
        <f t="shared" si="43"/>
        <v>0.27756374528974326</v>
      </c>
      <c r="CF25" s="22">
        <f t="shared" si="44"/>
        <v>1.8046539550182699</v>
      </c>
      <c r="CG25" s="22">
        <f t="shared" si="156"/>
        <v>1.7992181031055559</v>
      </c>
      <c r="CH25" s="22">
        <f t="shared" si="157"/>
        <v>1.5270902097285266</v>
      </c>
      <c r="CI25" s="23">
        <f t="shared" si="45"/>
        <v>0.54815746515521313</v>
      </c>
      <c r="CJ25" s="23">
        <f t="shared" si="46"/>
        <v>4.5668277864259121E-3</v>
      </c>
      <c r="CK25" s="23">
        <f t="shared" si="47"/>
        <v>9.7235674868246122E-2</v>
      </c>
      <c r="CL25" s="23">
        <f t="shared" si="48"/>
        <v>0</v>
      </c>
      <c r="CM25" s="23">
        <f t="shared" si="49"/>
        <v>5.0491449154318843E-2</v>
      </c>
      <c r="CN25" s="23">
        <f t="shared" si="50"/>
        <v>1.3140564834689737E-3</v>
      </c>
      <c r="CO25" s="23">
        <f t="shared" si="51"/>
        <v>2.5995514470854023E-2</v>
      </c>
      <c r="CP25" s="23">
        <f t="shared" si="52"/>
        <v>6.4877987323054401E-2</v>
      </c>
      <c r="CQ25" s="23">
        <f t="shared" si="53"/>
        <v>3.4023573256063915E-2</v>
      </c>
      <c r="CR25" s="23">
        <f t="shared" si="54"/>
        <v>1.8278810116330941E-2</v>
      </c>
      <c r="CS25" s="23">
        <f t="shared" si="55"/>
        <v>1.254226684849927E-3</v>
      </c>
      <c r="CT25" s="23">
        <f t="shared" si="56"/>
        <v>0.1538044147011737</v>
      </c>
      <c r="CU25" s="22">
        <f t="shared" si="57"/>
        <v>0.99999999999999978</v>
      </c>
      <c r="CV25" s="22">
        <f t="shared" si="58"/>
        <v>0.8461955852988261</v>
      </c>
      <c r="CX25">
        <f t="shared" si="59"/>
        <v>0.54981357499553174</v>
      </c>
      <c r="CY25">
        <f t="shared" si="60"/>
        <v>4.5806252240545298E-3</v>
      </c>
      <c r="CZ25">
        <f t="shared" si="61"/>
        <v>0.19505889243440561</v>
      </c>
      <c r="DA25">
        <f t="shared" si="62"/>
        <v>0</v>
      </c>
      <c r="DB25">
        <f t="shared" si="63"/>
        <v>5.0643995440946055E-2</v>
      </c>
      <c r="DC25">
        <f t="shared" si="64"/>
        <v>1.3180265504868353E-3</v>
      </c>
      <c r="DD25">
        <f t="shared" si="65"/>
        <v>2.6074052901972778E-2</v>
      </c>
      <c r="DE25">
        <f t="shared" si="66"/>
        <v>6.5073998652016879E-2</v>
      </c>
      <c r="DF25">
        <f t="shared" si="67"/>
        <v>6.8252732600264793E-2</v>
      </c>
      <c r="DG25">
        <f t="shared" si="68"/>
        <v>3.6668069215763474E-2</v>
      </c>
      <c r="DH25">
        <f t="shared" si="69"/>
        <v>2.5160319845571083E-3</v>
      </c>
      <c r="DI25" s="22">
        <f t="shared" si="70"/>
        <v>0.99999999999999989</v>
      </c>
      <c r="DJ25" s="22">
        <f t="shared" si="71"/>
        <v>0.65025306111579895</v>
      </c>
      <c r="DK25" s="22">
        <f t="shared" si="72"/>
        <v>2.2659328883258136E-2</v>
      </c>
      <c r="DL25" s="22">
        <f t="shared" si="73"/>
        <v>0.14083816361157697</v>
      </c>
      <c r="DM25" s="22">
        <f t="shared" si="74"/>
        <v>0</v>
      </c>
      <c r="DN25" s="22">
        <f t="shared" si="75"/>
        <v>0.16312577944058437</v>
      </c>
      <c r="DO25" s="22">
        <f t="shared" si="76"/>
        <v>0</v>
      </c>
      <c r="DP25" s="22">
        <f t="shared" si="77"/>
        <v>0.31113228332390508</v>
      </c>
      <c r="DQ25" s="22">
        <f t="shared" si="78"/>
        <v>0.20792690103321482</v>
      </c>
      <c r="DR25" s="22">
        <f t="shared" si="79"/>
        <v>3.194635593726252E-2</v>
      </c>
      <c r="DS25" s="22">
        <f t="shared" si="80"/>
        <v>1.1146970147352329E-2</v>
      </c>
      <c r="DT25" s="22">
        <f t="shared" si="81"/>
        <v>1.5390288434929531</v>
      </c>
      <c r="DU25" s="22">
        <f t="shared" si="82"/>
        <v>0.65025306111579895</v>
      </c>
      <c r="DV25" s="22">
        <f t="shared" si="83"/>
        <v>2.2659328883258136E-2</v>
      </c>
      <c r="DW25" s="22">
        <f t="shared" si="84"/>
        <v>0.28167632722315394</v>
      </c>
      <c r="DX25" s="22">
        <f t="shared" si="85"/>
        <v>0</v>
      </c>
      <c r="DZ25" s="22">
        <f t="shared" si="86"/>
        <v>0.16312577944058437</v>
      </c>
      <c r="EA25" s="22">
        <f t="shared" si="87"/>
        <v>0</v>
      </c>
      <c r="EB25" s="22">
        <f t="shared" si="88"/>
        <v>0.31113228332390508</v>
      </c>
      <c r="EC25" s="22">
        <f t="shared" si="89"/>
        <v>0.20792690103321482</v>
      </c>
      <c r="ED25" s="22">
        <f t="shared" si="90"/>
        <v>6.3892711874525041E-2</v>
      </c>
      <c r="EE25" s="22">
        <f t="shared" si="91"/>
        <v>2.2293940294704658E-2</v>
      </c>
      <c r="EG25" s="22">
        <f t="shared" si="92"/>
        <v>1.3005061222315979</v>
      </c>
      <c r="EH25" s="22">
        <f t="shared" si="93"/>
        <v>4.5318657766516272E-2</v>
      </c>
      <c r="EI25" s="22">
        <f t="shared" si="94"/>
        <v>0.42251449083473092</v>
      </c>
      <c r="EJ25" s="22">
        <f t="shared" si="95"/>
        <v>0</v>
      </c>
      <c r="EL25" s="22">
        <f t="shared" si="96"/>
        <v>0.16312577944058437</v>
      </c>
      <c r="EM25" s="22">
        <f t="shared" si="97"/>
        <v>0</v>
      </c>
      <c r="EN25" s="22">
        <f t="shared" si="98"/>
        <v>0.31113228332390508</v>
      </c>
      <c r="EO25" s="22">
        <f t="shared" si="99"/>
        <v>0.20792690103321482</v>
      </c>
      <c r="EP25" s="22">
        <f t="shared" si="100"/>
        <v>3.194635593726252E-2</v>
      </c>
      <c r="EQ25" s="22">
        <f t="shared" si="101"/>
        <v>1.1146970147352329E-2</v>
      </c>
      <c r="ER25" s="22">
        <f t="shared" si="102"/>
        <v>2.493617560715164</v>
      </c>
      <c r="ES25" s="22">
        <f t="shared" si="103"/>
        <v>9.2235474927452987</v>
      </c>
      <c r="EU25" s="86">
        <f t="shared" si="104"/>
        <v>5.9976399915045828</v>
      </c>
      <c r="EV25" s="86">
        <f t="shared" si="105"/>
        <v>0.20899939610846671</v>
      </c>
      <c r="EW25" s="86">
        <f t="shared" si="106"/>
        <v>2.5980549817248257</v>
      </c>
      <c r="EX25" s="86">
        <f t="shared" si="107"/>
        <v>0</v>
      </c>
      <c r="EY25" s="86"/>
      <c r="EZ25" s="86">
        <f t="shared" si="108"/>
        <v>1.5045983739613247</v>
      </c>
      <c r="FA25" s="86">
        <f t="shared" si="109"/>
        <v>0</v>
      </c>
      <c r="FB25" s="86">
        <f t="shared" si="110"/>
        <v>2.8697433917643247</v>
      </c>
      <c r="FC25" s="86">
        <f t="shared" si="111"/>
        <v>1.9178236466992085</v>
      </c>
      <c r="FD25" s="86">
        <f t="shared" si="112"/>
        <v>0.58931746241497318</v>
      </c>
      <c r="FE25" s="86">
        <f t="shared" si="113"/>
        <v>0.20562921710863655</v>
      </c>
      <c r="FF25" s="22">
        <f t="shared" si="114"/>
        <v>15.096859781762731</v>
      </c>
      <c r="FG25" s="22">
        <f t="shared" si="115"/>
        <v>15.891806461286341</v>
      </c>
      <c r="FH25" s="22">
        <f t="shared" si="116"/>
        <v>13.179036135063523</v>
      </c>
      <c r="FI25" s="22" t="str">
        <f t="shared" si="117"/>
        <v>Good</v>
      </c>
      <c r="FJ25" s="22">
        <f t="shared" si="118"/>
        <v>108.56609716962032</v>
      </c>
      <c r="FK25" s="22">
        <f t="shared" si="158"/>
        <v>0.65604005024245504</v>
      </c>
      <c r="FL25" s="22">
        <f t="shared" si="119"/>
        <v>0.25015675019118483</v>
      </c>
      <c r="FM25" s="87"/>
      <c r="FN25" s="87">
        <f t="shared" si="120"/>
        <v>-11.024365449465611</v>
      </c>
      <c r="FO25" s="22">
        <f t="shared" si="121"/>
        <v>0.1086220718832361</v>
      </c>
      <c r="FP25" s="88">
        <f t="shared" si="122"/>
        <v>0.13426443131295246</v>
      </c>
      <c r="FQ25" s="88">
        <f t="shared" si="123"/>
        <v>1.3703339426483723</v>
      </c>
      <c r="FR25" s="87">
        <f t="shared" si="124"/>
        <v>5.9976399915045828</v>
      </c>
      <c r="FS25" s="87">
        <f t="shared" si="125"/>
        <v>2.0023600084954172</v>
      </c>
      <c r="FT25" s="87">
        <f t="shared" si="126"/>
        <v>0</v>
      </c>
      <c r="FU25" s="86">
        <f t="shared" si="127"/>
        <v>8</v>
      </c>
      <c r="FV25" s="87">
        <f t="shared" si="128"/>
        <v>0.59569497322940856</v>
      </c>
      <c r="FW25" s="87">
        <f t="shared" si="129"/>
        <v>0</v>
      </c>
      <c r="FX25" s="87">
        <f t="shared" si="130"/>
        <v>0.13426443131295246</v>
      </c>
      <c r="FY25" s="87">
        <f t="shared" si="131"/>
        <v>0.20899939610846671</v>
      </c>
      <c r="FZ25" s="87">
        <f t="shared" si="132"/>
        <v>0.93895880065082771</v>
      </c>
      <c r="GA25" s="87">
        <f t="shared" si="133"/>
        <v>2.8697433917643247</v>
      </c>
      <c r="GB25" s="87">
        <f t="shared" si="134"/>
        <v>3.8087021924151525</v>
      </c>
      <c r="GC25" s="87">
        <f t="shared" si="135"/>
        <v>1.1912978075848475</v>
      </c>
      <c r="GD25" s="87">
        <f t="shared" si="136"/>
        <v>5</v>
      </c>
      <c r="GE25" s="87">
        <f t="shared" si="137"/>
        <v>0</v>
      </c>
      <c r="GF25" s="87">
        <f t="shared" si="138"/>
        <v>5</v>
      </c>
      <c r="GG25" s="86">
        <f t="shared" si="139"/>
        <v>0</v>
      </c>
      <c r="GH25" s="86">
        <f t="shared" si="140"/>
        <v>0.17903613506352478</v>
      </c>
      <c r="GI25" s="86">
        <f t="shared" si="141"/>
        <v>0</v>
      </c>
      <c r="GJ25" s="89">
        <f t="shared" si="142"/>
        <v>0.17903613506352478</v>
      </c>
      <c r="GK25" s="89">
        <f t="shared" si="143"/>
        <v>0.17903613506352478</v>
      </c>
      <c r="GL25" s="87">
        <f t="shared" si="144"/>
        <v>1.8209638649364752</v>
      </c>
      <c r="GM25" s="87">
        <f t="shared" si="145"/>
        <v>0</v>
      </c>
      <c r="GN25" s="89">
        <f t="shared" si="146"/>
        <v>2</v>
      </c>
      <c r="GO25" s="87"/>
      <c r="GP25" s="86" t="str">
        <f t="shared" si="159"/>
        <v>CALCIC</v>
      </c>
      <c r="GQ25" s="87"/>
      <c r="GR25" s="87">
        <f t="shared" si="147"/>
        <v>0.58931746241497318</v>
      </c>
      <c r="GS25" s="87">
        <f t="shared" si="148"/>
        <v>0.20562921710863655</v>
      </c>
      <c r="GT25" s="87">
        <f t="shared" si="149"/>
        <v>0.79494667952360976</v>
      </c>
      <c r="GU25" s="86">
        <f t="shared" si="150"/>
        <v>0</v>
      </c>
      <c r="GV25" s="86">
        <f t="shared" si="151"/>
        <v>0.58931746241497318</v>
      </c>
    </row>
    <row r="26" spans="1:204" s="22" customFormat="1" ht="18" customHeight="1" x14ac:dyDescent="0.35">
      <c r="A26" s="97">
        <v>15.3</v>
      </c>
      <c r="B26" s="97" t="s">
        <v>161</v>
      </c>
      <c r="C26" s="36">
        <f t="shared" si="0"/>
        <v>975.90190504645648</v>
      </c>
      <c r="D26" s="36">
        <f t="shared" si="152"/>
        <v>5.7535570036405908</v>
      </c>
      <c r="F26" s="95">
        <v>61.007837109978681</v>
      </c>
      <c r="G26" s="95">
        <v>0.62247701556534651</v>
      </c>
      <c r="H26" s="95">
        <v>17.413714548104458</v>
      </c>
      <c r="I26" s="95">
        <v>6.0189795628988065</v>
      </c>
      <c r="J26" s="95">
        <v>0.15685955261885343</v>
      </c>
      <c r="K26" s="95">
        <v>1.6743136114107524</v>
      </c>
      <c r="L26" s="95">
        <v>5.8204897616334215</v>
      </c>
      <c r="M26" s="95">
        <v>3.8022614434551478</v>
      </c>
      <c r="N26" s="95">
        <v>3.5068658466595251</v>
      </c>
      <c r="O26" s="95">
        <v>0</v>
      </c>
      <c r="P26" s="95">
        <v>0.32110347672299233</v>
      </c>
      <c r="Q26" s="95">
        <f t="shared" si="160"/>
        <v>5</v>
      </c>
      <c r="S26" s="98">
        <v>40.1</v>
      </c>
      <c r="T26" s="98">
        <v>2.12</v>
      </c>
      <c r="U26" s="98">
        <v>14.87</v>
      </c>
      <c r="V26" s="98">
        <v>13.1</v>
      </c>
      <c r="W26" s="98">
        <v>0.26</v>
      </c>
      <c r="X26" s="98">
        <v>13.53</v>
      </c>
      <c r="Y26" s="98">
        <v>12.3</v>
      </c>
      <c r="Z26" s="98">
        <v>2.33</v>
      </c>
      <c r="AA26" s="98">
        <v>1.29</v>
      </c>
      <c r="AB26" s="98">
        <v>0.03</v>
      </c>
      <c r="AD26" s="35">
        <f t="shared" si="1"/>
        <v>13.917472782278946</v>
      </c>
      <c r="AE26" s="36"/>
      <c r="AF26" s="50">
        <f t="shared" si="2"/>
        <v>0.26933167884668596</v>
      </c>
      <c r="AG26" s="35">
        <f t="shared" si="3"/>
        <v>52.079901953608392</v>
      </c>
      <c r="AH26" s="35">
        <f t="shared" si="4"/>
        <v>9.5</v>
      </c>
      <c r="AI26" s="35">
        <f t="shared" si="5"/>
        <v>5.7535570036405908</v>
      </c>
      <c r="AJ26" s="35">
        <f t="shared" si="6"/>
        <v>10.394073288159753</v>
      </c>
      <c r="AK26" s="36"/>
      <c r="AL26" s="37">
        <f t="shared" si="7"/>
        <v>985.92565312692466</v>
      </c>
      <c r="AM26" s="37">
        <f t="shared" si="8"/>
        <v>985.60845133319276</v>
      </c>
      <c r="AN26" s="37">
        <f t="shared" si="9"/>
        <v>1015.1108857719121</v>
      </c>
      <c r="AO26" s="37">
        <f t="shared" si="153"/>
        <v>944.50956565314402</v>
      </c>
      <c r="AP26" s="37">
        <f t="shared" si="10"/>
        <v>961.04466021542351</v>
      </c>
      <c r="AQ26" s="37">
        <f t="shared" si="11"/>
        <v>931.63281329025062</v>
      </c>
      <c r="AR26" s="37">
        <f t="shared" si="12"/>
        <v>986.48320792905372</v>
      </c>
      <c r="AS26" s="37">
        <f t="shared" si="13"/>
        <v>996.90000305175056</v>
      </c>
      <c r="AT26"/>
      <c r="AU26" s="35">
        <f t="shared" si="154"/>
        <v>7.8801736074873716</v>
      </c>
      <c r="AV26"/>
      <c r="AW26" s="37">
        <f t="shared" si="14"/>
        <v>909.71710352059768</v>
      </c>
      <c r="AX26" s="37">
        <f t="shared" si="15"/>
        <v>938.169884189654</v>
      </c>
      <c r="AY26" s="38"/>
      <c r="AZ26" s="50">
        <f t="shared" si="16"/>
        <v>-0.51035276019124787</v>
      </c>
      <c r="BA26" s="38"/>
      <c r="BB26" s="35">
        <f t="shared" si="17"/>
        <v>10.600695924732372</v>
      </c>
      <c r="BC26" s="35">
        <f t="shared" si="18"/>
        <v>6.1238272919923507</v>
      </c>
      <c r="BD26" s="35">
        <f t="shared" si="19"/>
        <v>6.068033711515362</v>
      </c>
      <c r="BE26" s="35">
        <f t="shared" si="20"/>
        <v>9.529790648533206</v>
      </c>
      <c r="BF26" s="35">
        <f t="shared" si="21"/>
        <v>11.88972454891454</v>
      </c>
      <c r="BG26" s="35">
        <f t="shared" si="22"/>
        <v>4.5151310901739592</v>
      </c>
      <c r="BH26" s="36"/>
      <c r="BI26" s="50">
        <f t="shared" si="155"/>
        <v>0.3519754677595483</v>
      </c>
      <c r="BJ26" s="50" t="str">
        <f t="shared" si="23"/>
        <v>NO</v>
      </c>
      <c r="BK26" s="35">
        <f t="shared" si="24"/>
        <v>8.9679038994322333</v>
      </c>
      <c r="BL26" s="35">
        <f t="shared" si="25"/>
        <v>8.4162469863893357</v>
      </c>
      <c r="BM26" s="35">
        <f t="shared" si="26"/>
        <v>11.530474689222311</v>
      </c>
      <c r="BN26" s="35">
        <f t="shared" si="27"/>
        <v>9.6908504955860408</v>
      </c>
      <c r="BO26" s="35">
        <f t="shared" si="28"/>
        <v>7.3781378716895327</v>
      </c>
      <c r="BP26" s="35">
        <f t="shared" si="29"/>
        <v>-1.2603024350035579</v>
      </c>
      <c r="BQ26" s="35">
        <f t="shared" si="30"/>
        <v>9.3579038994322339</v>
      </c>
      <c r="BR26" s="35">
        <f t="shared" si="31"/>
        <v>9.1861078650690704</v>
      </c>
      <c r="BS26" s="23"/>
      <c r="BT26" s="23">
        <f t="shared" si="32"/>
        <v>1.0153706893477776</v>
      </c>
      <c r="BU26" s="23">
        <f t="shared" si="33"/>
        <v>7.7927687392067299E-3</v>
      </c>
      <c r="BV26" s="23">
        <f t="shared" si="34"/>
        <v>0.17078799293950098</v>
      </c>
      <c r="BW26" s="23">
        <f t="shared" si="35"/>
        <v>0</v>
      </c>
      <c r="BX26" s="23">
        <f t="shared" si="36"/>
        <v>8.3775659781127609E-2</v>
      </c>
      <c r="BY26" s="23">
        <f t="shared" si="37"/>
        <v>2.2112359840543213E-3</v>
      </c>
      <c r="BZ26" s="23">
        <f t="shared" si="38"/>
        <v>4.1541707888239306E-2</v>
      </c>
      <c r="CA26" s="23">
        <f t="shared" si="39"/>
        <v>0.10379385923087414</v>
      </c>
      <c r="CB26" s="23">
        <f t="shared" si="40"/>
        <v>6.1347675474317027E-2</v>
      </c>
      <c r="CC26" s="23">
        <f t="shared" si="41"/>
        <v>3.7229456098555408E-2</v>
      </c>
      <c r="CD26" s="23">
        <f t="shared" si="42"/>
        <v>2.2622957842070236E-3</v>
      </c>
      <c r="CE26" s="23">
        <f t="shared" si="43"/>
        <v>0.27756374528974326</v>
      </c>
      <c r="CF26" s="22">
        <f t="shared" si="44"/>
        <v>1.8036770865576033</v>
      </c>
      <c r="CG26" s="22">
        <f t="shared" si="156"/>
        <v>1.7977407615644407</v>
      </c>
      <c r="CH26" s="22">
        <f t="shared" si="157"/>
        <v>1.52611334126786</v>
      </c>
      <c r="CI26" s="23">
        <f t="shared" si="45"/>
        <v>0.56294482915767208</v>
      </c>
      <c r="CJ26" s="23">
        <f t="shared" si="46"/>
        <v>4.3204899575896762E-3</v>
      </c>
      <c r="CK26" s="23">
        <f t="shared" si="47"/>
        <v>9.4688785599343253E-2</v>
      </c>
      <c r="CL26" s="23">
        <f t="shared" si="48"/>
        <v>0</v>
      </c>
      <c r="CM26" s="23">
        <f t="shared" si="49"/>
        <v>4.6447149772810566E-2</v>
      </c>
      <c r="CN26" s="23">
        <f t="shared" si="50"/>
        <v>1.2259600127617976E-3</v>
      </c>
      <c r="CO26" s="23">
        <f t="shared" si="51"/>
        <v>2.3031676899285491E-2</v>
      </c>
      <c r="CP26" s="23">
        <f t="shared" si="52"/>
        <v>5.7545699285324554E-2</v>
      </c>
      <c r="CQ26" s="23">
        <f t="shared" si="53"/>
        <v>3.4012560192468684E-2</v>
      </c>
      <c r="CR26" s="23">
        <f t="shared" si="54"/>
        <v>2.0640865471995021E-2</v>
      </c>
      <c r="CS26" s="23">
        <f t="shared" si="55"/>
        <v>1.254268738604821E-3</v>
      </c>
      <c r="CT26" s="23">
        <f t="shared" si="56"/>
        <v>0.15388771491214417</v>
      </c>
      <c r="CU26" s="22">
        <f t="shared" si="57"/>
        <v>1.0000000000000002</v>
      </c>
      <c r="CV26" s="22">
        <f t="shared" si="58"/>
        <v>0.84611228508785608</v>
      </c>
      <c r="CX26">
        <f t="shared" si="59"/>
        <v>0.56480373091400327</v>
      </c>
      <c r="CY26">
        <f t="shared" si="60"/>
        <v>4.3347566600343756E-3</v>
      </c>
      <c r="CZ26">
        <f t="shared" si="61"/>
        <v>0.19000291542689038</v>
      </c>
      <c r="DA26">
        <f t="shared" si="62"/>
        <v>0</v>
      </c>
      <c r="DB26">
        <f t="shared" si="63"/>
        <v>4.6600523041055067E-2</v>
      </c>
      <c r="DC26">
        <f t="shared" si="64"/>
        <v>1.2300082588826914E-3</v>
      </c>
      <c r="DD26">
        <f t="shared" si="65"/>
        <v>2.3107729866506801E-2</v>
      </c>
      <c r="DE26">
        <f t="shared" si="66"/>
        <v>5.7735721106167738E-2</v>
      </c>
      <c r="DF26">
        <f t="shared" si="67"/>
        <v>6.8249746332647743E-2</v>
      </c>
      <c r="DG26">
        <f t="shared" si="68"/>
        <v>4.1418047467708712E-2</v>
      </c>
      <c r="DH26">
        <f t="shared" si="69"/>
        <v>2.5168209261031776E-3</v>
      </c>
      <c r="DI26" s="22">
        <f t="shared" si="70"/>
        <v>1</v>
      </c>
      <c r="DJ26" s="22">
        <f t="shared" si="71"/>
        <v>0.66739564245568317</v>
      </c>
      <c r="DK26" s="22">
        <f t="shared" si="72"/>
        <v>2.6540208415749864E-2</v>
      </c>
      <c r="DL26" s="22">
        <f t="shared" si="73"/>
        <v>0.1458400761075313</v>
      </c>
      <c r="DM26" s="22">
        <f t="shared" si="74"/>
        <v>1.9738634165470287E-4</v>
      </c>
      <c r="DN26" s="22">
        <f t="shared" si="75"/>
        <v>0.18233342241225725</v>
      </c>
      <c r="DO26" s="22">
        <f t="shared" si="76"/>
        <v>3.6651982378854628E-3</v>
      </c>
      <c r="DP26" s="22">
        <f t="shared" si="77"/>
        <v>0.33569535832316072</v>
      </c>
      <c r="DQ26" s="22">
        <f t="shared" si="78"/>
        <v>0.21933969834550107</v>
      </c>
      <c r="DR26" s="22">
        <f t="shared" si="79"/>
        <v>3.7593439057485689E-2</v>
      </c>
      <c r="DS26" s="22">
        <f t="shared" si="80"/>
        <v>1.369484903817572E-2</v>
      </c>
      <c r="DT26" s="22">
        <f t="shared" si="81"/>
        <v>1.6322952787350851</v>
      </c>
      <c r="DU26" s="22">
        <f t="shared" si="82"/>
        <v>0.66739564245568317</v>
      </c>
      <c r="DV26" s="22">
        <f t="shared" si="83"/>
        <v>2.6540208415749864E-2</v>
      </c>
      <c r="DW26" s="22">
        <f t="shared" si="84"/>
        <v>0.2916801522150626</v>
      </c>
      <c r="DX26" s="22">
        <f t="shared" si="85"/>
        <v>3.9477268330940574E-4</v>
      </c>
      <c r="DZ26" s="22">
        <f t="shared" si="86"/>
        <v>0.18233342241225725</v>
      </c>
      <c r="EA26" s="22">
        <f t="shared" si="87"/>
        <v>3.6651982378854628E-3</v>
      </c>
      <c r="EB26" s="22">
        <f t="shared" si="88"/>
        <v>0.33569535832316072</v>
      </c>
      <c r="EC26" s="22">
        <f t="shared" si="89"/>
        <v>0.21933969834550107</v>
      </c>
      <c r="ED26" s="22">
        <f t="shared" si="90"/>
        <v>7.5186878114971378E-2</v>
      </c>
      <c r="EE26" s="22">
        <f t="shared" si="91"/>
        <v>2.738969807635144E-2</v>
      </c>
      <c r="EG26" s="22">
        <f t="shared" si="92"/>
        <v>1.3347912849113663</v>
      </c>
      <c r="EH26" s="22">
        <f t="shared" si="93"/>
        <v>5.3080416831499729E-2</v>
      </c>
      <c r="EI26" s="22">
        <f t="shared" si="94"/>
        <v>0.43752022832259391</v>
      </c>
      <c r="EJ26" s="22">
        <f t="shared" si="95"/>
        <v>5.9215902496410856E-4</v>
      </c>
      <c r="EL26" s="22">
        <f t="shared" si="96"/>
        <v>0.18233342241225725</v>
      </c>
      <c r="EM26" s="22">
        <f t="shared" si="97"/>
        <v>3.6651982378854628E-3</v>
      </c>
      <c r="EN26" s="22">
        <f t="shared" si="98"/>
        <v>0.33569535832316072</v>
      </c>
      <c r="EO26" s="22">
        <f t="shared" si="99"/>
        <v>0.21933969834550107</v>
      </c>
      <c r="EP26" s="22">
        <f t="shared" si="100"/>
        <v>3.7593439057485689E-2</v>
      </c>
      <c r="EQ26" s="22">
        <f t="shared" si="101"/>
        <v>1.369484903817572E-2</v>
      </c>
      <c r="ER26" s="22">
        <f t="shared" si="102"/>
        <v>2.61830605450489</v>
      </c>
      <c r="ES26" s="22">
        <f t="shared" si="103"/>
        <v>8.7843053948669105</v>
      </c>
      <c r="EU26" s="86">
        <f t="shared" si="104"/>
        <v>5.8626071425341255</v>
      </c>
      <c r="EV26" s="86">
        <f t="shared" si="105"/>
        <v>0.23313729596736371</v>
      </c>
      <c r="EW26" s="86">
        <f t="shared" si="106"/>
        <v>2.5622075346783761</v>
      </c>
      <c r="EX26" s="86">
        <f t="shared" si="107"/>
        <v>3.4678038117408991E-3</v>
      </c>
      <c r="EY26" s="86"/>
      <c r="EZ26" s="86">
        <f t="shared" si="108"/>
        <v>1.6016724661605386</v>
      </c>
      <c r="FA26" s="86">
        <f t="shared" si="109"/>
        <v>3.2196220654313962E-2</v>
      </c>
      <c r="FB26" s="86">
        <f t="shared" si="110"/>
        <v>2.9488505471499216</v>
      </c>
      <c r="FC26" s="86">
        <f t="shared" si="111"/>
        <v>1.9267468954848659</v>
      </c>
      <c r="FD26" s="86">
        <f t="shared" si="112"/>
        <v>0.66046449904854387</v>
      </c>
      <c r="FE26" s="86">
        <f t="shared" si="113"/>
        <v>0.2405994725758698</v>
      </c>
      <c r="FF26" s="22">
        <f t="shared" si="114"/>
        <v>15.170885906441248</v>
      </c>
      <c r="FG26" s="22">
        <f t="shared" si="115"/>
        <v>16.071949878065663</v>
      </c>
      <c r="FH26" s="22">
        <f t="shared" si="116"/>
        <v>13.244139010956381</v>
      </c>
      <c r="FI26" s="22" t="str">
        <f t="shared" si="117"/>
        <v>BAD</v>
      </c>
      <c r="FJ26" s="22">
        <f t="shared" si="118"/>
        <v>125.29358373822778</v>
      </c>
      <c r="FK26" s="22">
        <f t="shared" si="158"/>
        <v>0.64802453224045165</v>
      </c>
      <c r="FL26" s="22">
        <f t="shared" si="119"/>
        <v>0.23305093591432402</v>
      </c>
      <c r="FM26" s="87"/>
      <c r="FN26" s="87">
        <f t="shared" si="120"/>
        <v>-10.652261237569711</v>
      </c>
      <c r="FO26" s="22">
        <f t="shared" si="121"/>
        <v>0.1135836021324421</v>
      </c>
      <c r="FP26" s="88">
        <f t="shared" si="122"/>
        <v>0.14824689537873087</v>
      </c>
      <c r="FQ26" s="88">
        <f t="shared" si="123"/>
        <v>1.4534255707818078</v>
      </c>
      <c r="FR26" s="87">
        <f t="shared" si="124"/>
        <v>5.8626071425341255</v>
      </c>
      <c r="FS26" s="87">
        <f t="shared" si="125"/>
        <v>2.1373928574658745</v>
      </c>
      <c r="FT26" s="87">
        <f t="shared" si="126"/>
        <v>0</v>
      </c>
      <c r="FU26" s="86">
        <f t="shared" si="127"/>
        <v>8</v>
      </c>
      <c r="FV26" s="87">
        <f t="shared" si="128"/>
        <v>0.42481467721250166</v>
      </c>
      <c r="FW26" s="87">
        <f t="shared" si="129"/>
        <v>3.4678038117408991E-3</v>
      </c>
      <c r="FX26" s="87">
        <f t="shared" si="130"/>
        <v>0.14824689537873087</v>
      </c>
      <c r="FY26" s="87">
        <f t="shared" si="131"/>
        <v>0.23313729596736371</v>
      </c>
      <c r="FZ26" s="87">
        <f t="shared" si="132"/>
        <v>0.80966667237033718</v>
      </c>
      <c r="GA26" s="87">
        <f t="shared" si="133"/>
        <v>2.9488505471499216</v>
      </c>
      <c r="GB26" s="87">
        <f t="shared" si="134"/>
        <v>3.7585172195202587</v>
      </c>
      <c r="GC26" s="87">
        <f t="shared" si="135"/>
        <v>1.2414827804797413</v>
      </c>
      <c r="GD26" s="87">
        <f t="shared" si="136"/>
        <v>5</v>
      </c>
      <c r="GE26" s="87">
        <f t="shared" si="137"/>
        <v>0</v>
      </c>
      <c r="GF26" s="87">
        <f t="shared" si="138"/>
        <v>5</v>
      </c>
      <c r="GG26" s="86">
        <f t="shared" si="139"/>
        <v>0</v>
      </c>
      <c r="GH26" s="86">
        <f t="shared" si="140"/>
        <v>0.21194279030206653</v>
      </c>
      <c r="GI26" s="86">
        <f t="shared" si="141"/>
        <v>3.2196220654313962E-2</v>
      </c>
      <c r="GJ26" s="89">
        <f t="shared" si="142"/>
        <v>0.24413901095638049</v>
      </c>
      <c r="GK26" s="89">
        <f t="shared" si="143"/>
        <v>0.24413901095638049</v>
      </c>
      <c r="GL26" s="87">
        <f t="shared" si="144"/>
        <v>1.7558609890436194</v>
      </c>
      <c r="GM26" s="87">
        <f t="shared" si="145"/>
        <v>0</v>
      </c>
      <c r="GN26" s="89">
        <f t="shared" si="146"/>
        <v>2</v>
      </c>
      <c r="GO26" s="87"/>
      <c r="GP26" s="86" t="str">
        <f t="shared" si="159"/>
        <v>CALCIC</v>
      </c>
      <c r="GQ26" s="87"/>
      <c r="GR26" s="87">
        <f t="shared" si="147"/>
        <v>0.66046449904854387</v>
      </c>
      <c r="GS26" s="87">
        <f t="shared" si="148"/>
        <v>0.2405994725758698</v>
      </c>
      <c r="GT26" s="87">
        <f t="shared" si="149"/>
        <v>0.90106397162441365</v>
      </c>
      <c r="GU26" s="86">
        <f t="shared" si="150"/>
        <v>0</v>
      </c>
      <c r="GV26" s="86">
        <f t="shared" si="151"/>
        <v>0.66046449904854387</v>
      </c>
    </row>
    <row r="27" spans="1:204" s="22" customFormat="1" ht="18" customHeight="1" x14ac:dyDescent="0.35">
      <c r="A27" s="97" t="s">
        <v>160</v>
      </c>
      <c r="B27" s="97" t="s">
        <v>161</v>
      </c>
      <c r="C27" s="36">
        <f t="shared" si="0"/>
        <v>951.67937296071955</v>
      </c>
      <c r="D27" s="36">
        <f t="shared" si="152"/>
        <v>3.0392084353424256</v>
      </c>
      <c r="F27" s="95">
        <v>62.317402705027561</v>
      </c>
      <c r="G27" s="95">
        <v>0.59258295722127685</v>
      </c>
      <c r="H27" s="95">
        <v>17.015042322847503</v>
      </c>
      <c r="I27" s="95">
        <v>5.5789738038649705</v>
      </c>
      <c r="J27" s="95">
        <v>0.1473838340855729</v>
      </c>
      <c r="K27" s="95">
        <v>1.4937840200535397</v>
      </c>
      <c r="L27" s="95">
        <v>5.1990671716793324</v>
      </c>
      <c r="M27" s="95">
        <v>3.7995169157401407</v>
      </c>
      <c r="N27" s="95">
        <v>3.8401248563986585</v>
      </c>
      <c r="O27" s="95">
        <v>0</v>
      </c>
      <c r="P27" s="95">
        <v>0.32096743332332595</v>
      </c>
      <c r="Q27" s="95">
        <v>2</v>
      </c>
      <c r="S27" s="98">
        <v>40.57</v>
      </c>
      <c r="T27" s="98">
        <v>2.4500000000000002</v>
      </c>
      <c r="U27" s="98">
        <v>12.82</v>
      </c>
      <c r="V27" s="98">
        <v>13.11</v>
      </c>
      <c r="W27" s="98">
        <v>0.26</v>
      </c>
      <c r="X27" s="98">
        <v>13.02</v>
      </c>
      <c r="Y27" s="98">
        <v>11.63</v>
      </c>
      <c r="Z27" s="98">
        <v>2.2000000000000002</v>
      </c>
      <c r="AA27" s="98">
        <v>0.92</v>
      </c>
      <c r="AB27" s="98">
        <v>0</v>
      </c>
      <c r="AD27" s="35">
        <f t="shared" si="1"/>
        <v>9.6822991250621424</v>
      </c>
      <c r="AE27" s="36"/>
      <c r="AF27" s="50">
        <f t="shared" si="2"/>
        <v>0.26960329424789281</v>
      </c>
      <c r="AG27" s="35">
        <f t="shared" si="3"/>
        <v>57.936794676762176</v>
      </c>
      <c r="AH27" s="35">
        <f t="shared" si="4"/>
        <v>4.8</v>
      </c>
      <c r="AI27" s="35">
        <f t="shared" si="5"/>
        <v>3.0392084353424256</v>
      </c>
      <c r="AJ27" s="35">
        <f t="shared" si="6"/>
        <v>6.6912002341322925</v>
      </c>
      <c r="AK27" s="36"/>
      <c r="AL27" s="37">
        <f t="shared" si="7"/>
        <v>955.93956668022042</v>
      </c>
      <c r="AM27" s="37">
        <f t="shared" si="8"/>
        <v>949.12113622280856</v>
      </c>
      <c r="AN27" s="37">
        <f t="shared" si="9"/>
        <v>974.85569769833182</v>
      </c>
      <c r="AO27" s="37">
        <f t="shared" si="153"/>
        <v>944.9912566085635</v>
      </c>
      <c r="AP27" s="37">
        <f t="shared" si="10"/>
        <v>957.31293428462016</v>
      </c>
      <c r="AQ27" s="37">
        <f t="shared" si="11"/>
        <v>922.70069898896418</v>
      </c>
      <c r="AR27" s="37">
        <f t="shared" si="12"/>
        <v>949.60589484884315</v>
      </c>
      <c r="AS27" s="37">
        <f t="shared" si="13"/>
        <v>958.90779835340481</v>
      </c>
      <c r="AT27"/>
      <c r="AU27" s="35">
        <f t="shared" si="154"/>
        <v>6.3660196417197561</v>
      </c>
      <c r="AV27"/>
      <c r="AW27" s="37">
        <f t="shared" si="14"/>
        <v>910.24893980340914</v>
      </c>
      <c r="AX27" s="37">
        <f t="shared" si="15"/>
        <v>933.54562931456485</v>
      </c>
      <c r="AY27" s="38"/>
      <c r="AZ27" s="50">
        <f t="shared" si="16"/>
        <v>-0.88246991884735904</v>
      </c>
      <c r="BA27" s="38"/>
      <c r="BB27" s="35">
        <f t="shared" si="17"/>
        <v>5.9492045906465796</v>
      </c>
      <c r="BC27" s="35">
        <f t="shared" si="18"/>
        <v>4.2493418222422372</v>
      </c>
      <c r="BD27" s="35">
        <f t="shared" si="19"/>
        <v>4.747204005286231</v>
      </c>
      <c r="BE27" s="35">
        <f t="shared" si="20"/>
        <v>5.875666454605236</v>
      </c>
      <c r="BF27" s="35">
        <f t="shared" si="21"/>
        <v>8.0837245598608032</v>
      </c>
      <c r="BG27" s="35">
        <f t="shared" si="22"/>
        <v>3.1852930689078365</v>
      </c>
      <c r="BH27" s="36"/>
      <c r="BI27" s="50">
        <f t="shared" si="155"/>
        <v>0.36096431340864554</v>
      </c>
      <c r="BJ27" s="50" t="str">
        <f t="shared" si="23"/>
        <v>NO</v>
      </c>
      <c r="BK27" s="35">
        <f t="shared" si="24"/>
        <v>7.4851393549356473</v>
      </c>
      <c r="BL27" s="35">
        <f t="shared" si="25"/>
        <v>6.5830062769202611</v>
      </c>
      <c r="BM27" s="35">
        <f t="shared" si="26"/>
        <v>7.4537173560742653</v>
      </c>
      <c r="BN27" s="35">
        <f t="shared" si="27"/>
        <v>8.0282675868463311</v>
      </c>
      <c r="BO27" s="35">
        <f t="shared" si="28"/>
        <v>6.1312006901347482</v>
      </c>
      <c r="BP27" s="35">
        <f t="shared" si="29"/>
        <v>-0.89657813945135523</v>
      </c>
      <c r="BQ27" s="35">
        <f t="shared" si="30"/>
        <v>7.8751393549356479</v>
      </c>
      <c r="BR27" s="35">
        <f t="shared" si="31"/>
        <v>7.7829350555653427</v>
      </c>
      <c r="BS27" s="23"/>
      <c r="BT27" s="23">
        <f t="shared" si="32"/>
        <v>1.0371661599623789</v>
      </c>
      <c r="BU27" s="23">
        <f t="shared" si="33"/>
        <v>7.418526032204751E-3</v>
      </c>
      <c r="BV27" s="23">
        <f t="shared" si="34"/>
        <v>0.16687794669380943</v>
      </c>
      <c r="BW27" s="23">
        <f t="shared" si="35"/>
        <v>0</v>
      </c>
      <c r="BX27" s="23">
        <f t="shared" si="36"/>
        <v>7.7651403603590019E-2</v>
      </c>
      <c r="BY27" s="23">
        <f t="shared" si="37"/>
        <v>2.0776575730124813E-3</v>
      </c>
      <c r="BZ27" s="23">
        <f t="shared" si="38"/>
        <v>3.7062554461883557E-2</v>
      </c>
      <c r="CA27" s="23">
        <f t="shared" si="39"/>
        <v>9.2712343505214803E-2</v>
      </c>
      <c r="CB27" s="23">
        <f t="shared" si="40"/>
        <v>6.1303393828224452E-2</v>
      </c>
      <c r="CC27" s="23">
        <f t="shared" si="41"/>
        <v>4.0767387748934757E-2</v>
      </c>
      <c r="CD27" s="23">
        <f t="shared" si="42"/>
        <v>2.2613373068567457E-3</v>
      </c>
      <c r="CE27" s="23">
        <f t="shared" si="43"/>
        <v>0.11102549811589729</v>
      </c>
      <c r="CF27" s="22">
        <f t="shared" si="44"/>
        <v>1.6363242088320074</v>
      </c>
      <c r="CG27" s="22">
        <f t="shared" si="156"/>
        <v>1.7965087762939353</v>
      </c>
      <c r="CH27" s="22">
        <f t="shared" si="157"/>
        <v>1.52529871071611</v>
      </c>
      <c r="CI27" s="23">
        <f t="shared" si="45"/>
        <v>0.63383903652119056</v>
      </c>
      <c r="CJ27" s="23">
        <f t="shared" si="46"/>
        <v>4.5336529229131339E-3</v>
      </c>
      <c r="CK27" s="23">
        <f t="shared" si="47"/>
        <v>0.1019834246740903</v>
      </c>
      <c r="CL27" s="23">
        <f t="shared" si="48"/>
        <v>0</v>
      </c>
      <c r="CM27" s="23">
        <f t="shared" si="49"/>
        <v>4.7454778939570202E-2</v>
      </c>
      <c r="CN27" s="23">
        <f t="shared" si="50"/>
        <v>1.2697102211153457E-3</v>
      </c>
      <c r="CO27" s="23">
        <f t="shared" si="51"/>
        <v>2.2649884577786977E-2</v>
      </c>
      <c r="CP27" s="23">
        <f t="shared" si="52"/>
        <v>5.6658908427072649E-2</v>
      </c>
      <c r="CQ27" s="23">
        <f t="shared" si="53"/>
        <v>3.7464087799557906E-2</v>
      </c>
      <c r="CR27" s="23">
        <f t="shared" si="54"/>
        <v>2.4914003917374132E-2</v>
      </c>
      <c r="CS27" s="23">
        <f t="shared" si="55"/>
        <v>1.3819616520071329E-3</v>
      </c>
      <c r="CT27" s="23">
        <f t="shared" si="56"/>
        <v>6.7850550347321598E-2</v>
      </c>
      <c r="CU27" s="22">
        <f t="shared" si="57"/>
        <v>0.99999999999999978</v>
      </c>
      <c r="CV27" s="22">
        <f t="shared" si="58"/>
        <v>0.93214944965267821</v>
      </c>
      <c r="CX27">
        <f t="shared" si="59"/>
        <v>0.57732318018616968</v>
      </c>
      <c r="CY27">
        <f t="shared" si="60"/>
        <v>4.1294126308186602E-3</v>
      </c>
      <c r="CZ27">
        <f t="shared" si="61"/>
        <v>0.1857802743809204</v>
      </c>
      <c r="DA27">
        <f t="shared" si="62"/>
        <v>0</v>
      </c>
      <c r="DB27">
        <f t="shared" si="63"/>
        <v>4.3223503624501697E-2</v>
      </c>
      <c r="DC27">
        <f t="shared" si="64"/>
        <v>1.1564973132491649E-3</v>
      </c>
      <c r="DD27">
        <f t="shared" si="65"/>
        <v>2.0630321961655464E-2</v>
      </c>
      <c r="DE27">
        <f t="shared" si="66"/>
        <v>5.160695273444392E-2</v>
      </c>
      <c r="DF27">
        <f t="shared" si="67"/>
        <v>6.824725226746603E-2</v>
      </c>
      <c r="DG27">
        <f t="shared" si="68"/>
        <v>4.5385125068005357E-2</v>
      </c>
      <c r="DH27">
        <f t="shared" si="69"/>
        <v>2.5174798327695534E-3</v>
      </c>
      <c r="DI27" s="22">
        <f t="shared" si="70"/>
        <v>1</v>
      </c>
      <c r="DJ27" s="22">
        <f t="shared" si="71"/>
        <v>0.6752179853971837</v>
      </c>
      <c r="DK27" s="22">
        <f t="shared" si="72"/>
        <v>3.0671467272918473E-2</v>
      </c>
      <c r="DL27" s="22">
        <f t="shared" si="73"/>
        <v>0.12573434940810702</v>
      </c>
      <c r="DM27" s="22">
        <f t="shared" si="74"/>
        <v>0</v>
      </c>
      <c r="DN27" s="22">
        <f t="shared" si="75"/>
        <v>0.18247260823089256</v>
      </c>
      <c r="DO27" s="22">
        <f t="shared" si="76"/>
        <v>3.6651982378854628E-3</v>
      </c>
      <c r="DP27" s="22">
        <f t="shared" si="77"/>
        <v>0.32304165302051385</v>
      </c>
      <c r="DQ27" s="22">
        <f t="shared" si="78"/>
        <v>0.20739192615920141</v>
      </c>
      <c r="DR27" s="22">
        <f t="shared" si="79"/>
        <v>3.5495951041402803E-2</v>
      </c>
      <c r="DS27" s="22">
        <f t="shared" si="80"/>
        <v>9.7668690814896597E-3</v>
      </c>
      <c r="DT27" s="22">
        <f t="shared" si="81"/>
        <v>1.5934580078495948</v>
      </c>
      <c r="DU27" s="22">
        <f t="shared" si="82"/>
        <v>0.6752179853971837</v>
      </c>
      <c r="DV27" s="22">
        <f t="shared" si="83"/>
        <v>3.0671467272918473E-2</v>
      </c>
      <c r="DW27" s="22">
        <f t="shared" si="84"/>
        <v>0.25146869881621403</v>
      </c>
      <c r="DX27" s="22">
        <f t="shared" si="85"/>
        <v>0</v>
      </c>
      <c r="DZ27" s="22">
        <f t="shared" si="86"/>
        <v>0.18247260823089256</v>
      </c>
      <c r="EA27" s="22">
        <f t="shared" si="87"/>
        <v>3.6651982378854628E-3</v>
      </c>
      <c r="EB27" s="22">
        <f t="shared" si="88"/>
        <v>0.32304165302051385</v>
      </c>
      <c r="EC27" s="22">
        <f t="shared" si="89"/>
        <v>0.20739192615920141</v>
      </c>
      <c r="ED27" s="22">
        <f t="shared" si="90"/>
        <v>7.0991902082805605E-2</v>
      </c>
      <c r="EE27" s="22">
        <f t="shared" si="91"/>
        <v>1.9533738162979319E-2</v>
      </c>
      <c r="EG27" s="22">
        <f t="shared" si="92"/>
        <v>1.3504359707943674</v>
      </c>
      <c r="EH27" s="22">
        <f t="shared" si="93"/>
        <v>6.1342934545836947E-2</v>
      </c>
      <c r="EI27" s="22">
        <f t="shared" si="94"/>
        <v>0.37720304822432105</v>
      </c>
      <c r="EJ27" s="22">
        <f t="shared" si="95"/>
        <v>0</v>
      </c>
      <c r="EL27" s="22">
        <f t="shared" si="96"/>
        <v>0.18247260823089256</v>
      </c>
      <c r="EM27" s="22">
        <f t="shared" si="97"/>
        <v>3.6651982378854628E-3</v>
      </c>
      <c r="EN27" s="22">
        <f t="shared" si="98"/>
        <v>0.32304165302051385</v>
      </c>
      <c r="EO27" s="22">
        <f t="shared" si="99"/>
        <v>0.20739192615920141</v>
      </c>
      <c r="EP27" s="22">
        <f t="shared" si="100"/>
        <v>3.5495951041402803E-2</v>
      </c>
      <c r="EQ27" s="22">
        <f t="shared" si="101"/>
        <v>9.7668690814896597E-3</v>
      </c>
      <c r="ER27" s="22">
        <f t="shared" si="102"/>
        <v>2.5508161593359113</v>
      </c>
      <c r="ES27" s="22">
        <f t="shared" si="103"/>
        <v>9.0167219287131619</v>
      </c>
      <c r="EU27" s="86">
        <f t="shared" si="104"/>
        <v>6.0882528155923099</v>
      </c>
      <c r="EV27" s="86">
        <f t="shared" si="105"/>
        <v>0.27655609154553207</v>
      </c>
      <c r="EW27" s="86">
        <f t="shared" si="106"/>
        <v>2.2674233310011225</v>
      </c>
      <c r="EX27" s="86">
        <f t="shared" si="107"/>
        <v>0</v>
      </c>
      <c r="EY27" s="86"/>
      <c r="EZ27" s="86">
        <f t="shared" si="108"/>
        <v>1.6453047680249748</v>
      </c>
      <c r="FA27" s="86">
        <f t="shared" si="109"/>
        <v>3.3048073324622694E-2</v>
      </c>
      <c r="FB27" s="86">
        <f t="shared" si="110"/>
        <v>2.9127767566778155</v>
      </c>
      <c r="FC27" s="86">
        <f t="shared" si="111"/>
        <v>1.8699953284377322</v>
      </c>
      <c r="FD27" s="86">
        <f t="shared" si="112"/>
        <v>0.64011424027109087</v>
      </c>
      <c r="FE27" s="86">
        <f t="shared" si="113"/>
        <v>0.17613028524387678</v>
      </c>
      <c r="FF27" s="22">
        <f t="shared" si="114"/>
        <v>15.093357164604107</v>
      </c>
      <c r="FG27" s="22">
        <f t="shared" si="115"/>
        <v>15.909601690119075</v>
      </c>
      <c r="FH27" s="22">
        <f t="shared" si="116"/>
        <v>13.223361836166376</v>
      </c>
      <c r="FI27" s="22" t="str">
        <f t="shared" si="117"/>
        <v>Good</v>
      </c>
      <c r="FJ27" s="22">
        <f t="shared" si="118"/>
        <v>138.80421843333409</v>
      </c>
      <c r="FK27" s="22">
        <f t="shared" si="158"/>
        <v>0.63903568659135457</v>
      </c>
      <c r="FL27" s="22">
        <f t="shared" si="119"/>
        <v>0.21739565924229032</v>
      </c>
      <c r="FM27" s="87"/>
      <c r="FN27" s="87">
        <f t="shared" si="120"/>
        <v>-11.582952021650092</v>
      </c>
      <c r="FO27" s="22">
        <f t="shared" si="121"/>
        <v>9.9434254280540271E-2</v>
      </c>
      <c r="FP27" s="88">
        <f t="shared" si="122"/>
        <v>0.13646171494581844</v>
      </c>
      <c r="FQ27" s="88">
        <f t="shared" si="123"/>
        <v>1.5088430530791563</v>
      </c>
      <c r="FR27" s="87">
        <f t="shared" si="124"/>
        <v>6.0882528155923099</v>
      </c>
      <c r="FS27" s="87">
        <f t="shared" si="125"/>
        <v>1.9117471844076901</v>
      </c>
      <c r="FT27" s="87">
        <f t="shared" si="126"/>
        <v>0</v>
      </c>
      <c r="FU27" s="86">
        <f t="shared" si="127"/>
        <v>8</v>
      </c>
      <c r="FV27" s="87">
        <f t="shared" si="128"/>
        <v>0.35567614659343239</v>
      </c>
      <c r="FW27" s="87">
        <f t="shared" si="129"/>
        <v>0</v>
      </c>
      <c r="FX27" s="87">
        <f t="shared" si="130"/>
        <v>0.13646171494581844</v>
      </c>
      <c r="FY27" s="87">
        <f t="shared" si="131"/>
        <v>0.27655609154553207</v>
      </c>
      <c r="FZ27" s="87">
        <f t="shared" si="132"/>
        <v>0.76869395308478294</v>
      </c>
      <c r="GA27" s="87">
        <f t="shared" si="133"/>
        <v>2.9127767566778155</v>
      </c>
      <c r="GB27" s="87">
        <f t="shared" si="134"/>
        <v>3.6814707097625985</v>
      </c>
      <c r="GC27" s="87">
        <f t="shared" si="135"/>
        <v>1.3185292902374015</v>
      </c>
      <c r="GD27" s="87">
        <f t="shared" si="136"/>
        <v>5</v>
      </c>
      <c r="GE27" s="87">
        <f t="shared" si="137"/>
        <v>0</v>
      </c>
      <c r="GF27" s="87">
        <f t="shared" si="138"/>
        <v>5</v>
      </c>
      <c r="GG27" s="86">
        <f t="shared" si="139"/>
        <v>0</v>
      </c>
      <c r="GH27" s="86">
        <f t="shared" si="140"/>
        <v>0.19031376284175483</v>
      </c>
      <c r="GI27" s="86">
        <f t="shared" si="141"/>
        <v>3.3048073324622694E-2</v>
      </c>
      <c r="GJ27" s="89">
        <f t="shared" si="142"/>
        <v>0.22336183616637753</v>
      </c>
      <c r="GK27" s="89">
        <f t="shared" si="143"/>
        <v>0.22336183616637753</v>
      </c>
      <c r="GL27" s="87">
        <f t="shared" si="144"/>
        <v>1.7766381638336224</v>
      </c>
      <c r="GM27" s="87">
        <f t="shared" si="145"/>
        <v>0</v>
      </c>
      <c r="GN27" s="89">
        <f t="shared" si="146"/>
        <v>2</v>
      </c>
      <c r="GO27" s="87"/>
      <c r="GP27" s="86" t="str">
        <f t="shared" si="159"/>
        <v>CALCIC</v>
      </c>
      <c r="GQ27" s="87"/>
      <c r="GR27" s="87">
        <f t="shared" si="147"/>
        <v>0.64011424027109087</v>
      </c>
      <c r="GS27" s="87">
        <f t="shared" si="148"/>
        <v>0.17613028524387678</v>
      </c>
      <c r="GT27" s="87">
        <f t="shared" si="149"/>
        <v>0.81624452551496762</v>
      </c>
      <c r="GU27" s="86">
        <f t="shared" si="150"/>
        <v>0</v>
      </c>
      <c r="GV27" s="86">
        <f t="shared" si="151"/>
        <v>0.64011424027109087</v>
      </c>
    </row>
    <row r="28" spans="1:204" s="22" customFormat="1" ht="18" customHeight="1" x14ac:dyDescent="0.35">
      <c r="A28" s="97" t="s">
        <v>162</v>
      </c>
      <c r="B28" s="97" t="s">
        <v>161</v>
      </c>
      <c r="C28" s="36">
        <f t="shared" si="0"/>
        <v>917.94849734018953</v>
      </c>
      <c r="D28" s="36">
        <f t="shared" si="152"/>
        <v>2.211426150911084</v>
      </c>
      <c r="F28" s="95">
        <v>63.410655085328358</v>
      </c>
      <c r="G28" s="95">
        <v>0.56762678048216109</v>
      </c>
      <c r="H28" s="95">
        <v>16.682222523007152</v>
      </c>
      <c r="I28" s="95">
        <v>5.2116479171522521</v>
      </c>
      <c r="J28" s="95">
        <v>0.13947330873217689</v>
      </c>
      <c r="K28" s="95">
        <v>1.3430741921440521</v>
      </c>
      <c r="L28" s="95">
        <v>4.6802907711626132</v>
      </c>
      <c r="M28" s="95">
        <v>3.7972257273731147</v>
      </c>
      <c r="N28" s="95">
        <v>4.1183363541895686</v>
      </c>
      <c r="O28" s="95">
        <v>0</v>
      </c>
      <c r="P28" s="95">
        <v>0.32085386148616735</v>
      </c>
      <c r="Q28" s="95">
        <v>2</v>
      </c>
      <c r="S28" s="98">
        <v>39.450000000000003</v>
      </c>
      <c r="T28" s="98">
        <v>1.88</v>
      </c>
      <c r="U28" s="98">
        <v>10.8</v>
      </c>
      <c r="V28" s="98">
        <v>11.85</v>
      </c>
      <c r="W28" s="98">
        <v>0</v>
      </c>
      <c r="X28" s="98">
        <v>11.32</v>
      </c>
      <c r="Y28" s="98">
        <v>10.94</v>
      </c>
      <c r="Z28" s="98">
        <v>2.04</v>
      </c>
      <c r="AA28" s="98">
        <v>0.75</v>
      </c>
      <c r="AB28" s="98">
        <v>0</v>
      </c>
      <c r="AD28" s="35">
        <f t="shared" si="1"/>
        <v>8.2488549105446118</v>
      </c>
      <c r="AE28" s="36"/>
      <c r="AF28" s="50">
        <f t="shared" si="2"/>
        <v>0.2697719921643838</v>
      </c>
      <c r="AG28" s="35">
        <f t="shared" si="3"/>
        <v>63.369069414151781</v>
      </c>
      <c r="AH28" s="35">
        <f t="shared" si="4"/>
        <v>3.5</v>
      </c>
      <c r="AI28" s="35">
        <f t="shared" si="5"/>
        <v>2.211426150911084</v>
      </c>
      <c r="AJ28" s="35">
        <f t="shared" si="6"/>
        <v>5.2602235134471105</v>
      </c>
      <c r="AK28" s="36"/>
      <c r="AL28" s="37">
        <f t="shared" si="7"/>
        <v>911.89573022935838</v>
      </c>
      <c r="AM28" s="37">
        <f t="shared" si="8"/>
        <v>905.87675644691922</v>
      </c>
      <c r="AN28" s="37">
        <f t="shared" si="9"/>
        <v>919.32774585936841</v>
      </c>
      <c r="AO28" s="37">
        <f t="shared" si="153"/>
        <v>943.11518998770521</v>
      </c>
      <c r="AP28" s="37">
        <f t="shared" si="10"/>
        <v>956.48454816059098</v>
      </c>
      <c r="AQ28" s="37">
        <f t="shared" si="11"/>
        <v>909.75445319828543</v>
      </c>
      <c r="AR28" s="37">
        <f t="shared" si="12"/>
        <v>891.687442587399</v>
      </c>
      <c r="AS28" s="37">
        <f t="shared" si="13"/>
        <v>905.44611225188953</v>
      </c>
      <c r="AT28"/>
      <c r="AU28" s="35">
        <f t="shared" si="154"/>
        <v>5.4255787264711213</v>
      </c>
      <c r="AV28"/>
      <c r="AW28" s="37">
        <f t="shared" si="14"/>
        <v>913.91494359494152</v>
      </c>
      <c r="AX28" s="37">
        <f t="shared" si="15"/>
        <v>929.50832352049622</v>
      </c>
      <c r="AY28" s="38"/>
      <c r="AZ28" s="50">
        <f t="shared" si="16"/>
        <v>-1.0818104362380969</v>
      </c>
      <c r="BA28" s="38"/>
      <c r="BB28" s="35">
        <f t="shared" si="17"/>
        <v>2.8297978386429312</v>
      </c>
      <c r="BC28" s="35">
        <f t="shared" si="18"/>
        <v>2.8746751835788174</v>
      </c>
      <c r="BD28" s="35">
        <f t="shared" si="19"/>
        <v>2.9167086106066993</v>
      </c>
      <c r="BE28" s="35">
        <f t="shared" si="20"/>
        <v>4.3589524087177063</v>
      </c>
      <c r="BF28" s="35">
        <f t="shared" si="21"/>
        <v>10.468376216475557</v>
      </c>
      <c r="BG28" s="35">
        <f t="shared" si="22"/>
        <v>2.5441598304910915</v>
      </c>
      <c r="BH28" s="36"/>
      <c r="BI28" s="50">
        <f t="shared" si="155"/>
        <v>0.36997756342721971</v>
      </c>
      <c r="BJ28" s="50" t="str">
        <f t="shared" si="23"/>
        <v>NO</v>
      </c>
      <c r="BK28" s="35">
        <f t="shared" si="24"/>
        <v>6.4659982447809519</v>
      </c>
      <c r="BL28" s="35">
        <f t="shared" si="25"/>
        <v>5.4539737477470291</v>
      </c>
      <c r="BM28" s="35">
        <f t="shared" si="26"/>
        <v>5.5225864632136163</v>
      </c>
      <c r="BN28" s="35">
        <f t="shared" si="27"/>
        <v>6.8855328231738699</v>
      </c>
      <c r="BO28" s="35">
        <f t="shared" si="28"/>
        <v>5.2741496173804032</v>
      </c>
      <c r="BP28" s="35">
        <f t="shared" si="29"/>
        <v>1.4457819437912356E-2</v>
      </c>
      <c r="BQ28" s="35">
        <f t="shared" si="30"/>
        <v>6.8559982447809524</v>
      </c>
      <c r="BR28" s="35">
        <f t="shared" si="31"/>
        <v>6.8184993330332659</v>
      </c>
      <c r="BS28" s="23"/>
      <c r="BT28" s="23">
        <f t="shared" si="32"/>
        <v>1.0553614685588142</v>
      </c>
      <c r="BU28" s="23">
        <f t="shared" si="33"/>
        <v>7.1061004982819111E-3</v>
      </c>
      <c r="BV28" s="23">
        <f t="shared" si="34"/>
        <v>0.1636137594080791</v>
      </c>
      <c r="BW28" s="23">
        <f t="shared" si="35"/>
        <v>0</v>
      </c>
      <c r="BX28" s="23">
        <f t="shared" si="36"/>
        <v>7.2538748178784904E-2</v>
      </c>
      <c r="BY28" s="23">
        <f t="shared" si="37"/>
        <v>1.9661435592201147E-3</v>
      </c>
      <c r="BZ28" s="23">
        <f t="shared" si="38"/>
        <v>3.3323264758786934E-2</v>
      </c>
      <c r="CA28" s="23">
        <f t="shared" si="39"/>
        <v>8.3461265521629274E-2</v>
      </c>
      <c r="CB28" s="23">
        <f t="shared" si="40"/>
        <v>6.1266426596359641E-2</v>
      </c>
      <c r="CC28" s="23">
        <f t="shared" si="41"/>
        <v>4.3720926092292334E-2</v>
      </c>
      <c r="CD28" s="23">
        <f t="shared" si="42"/>
        <v>2.260537150187529E-3</v>
      </c>
      <c r="CE28" s="23">
        <f t="shared" si="43"/>
        <v>0.11102549811589729</v>
      </c>
      <c r="CF28" s="22">
        <f t="shared" si="44"/>
        <v>1.6356441384383336</v>
      </c>
      <c r="CG28" s="22">
        <f t="shared" si="156"/>
        <v>1.7954802895693547</v>
      </c>
      <c r="CH28" s="22">
        <f t="shared" si="157"/>
        <v>1.5246186403224362</v>
      </c>
      <c r="CI28" s="23">
        <f t="shared" si="45"/>
        <v>0.64522682150558941</v>
      </c>
      <c r="CJ28" s="23">
        <f t="shared" si="46"/>
        <v>4.3445272301508159E-3</v>
      </c>
      <c r="CK28" s="23">
        <f t="shared" si="47"/>
        <v>0.10003016888764867</v>
      </c>
      <c r="CL28" s="23">
        <f t="shared" si="48"/>
        <v>0</v>
      </c>
      <c r="CM28" s="23">
        <f t="shared" si="49"/>
        <v>4.4348734834242634E-2</v>
      </c>
      <c r="CN28" s="23">
        <f t="shared" si="50"/>
        <v>1.2020607129722804E-3</v>
      </c>
      <c r="CO28" s="23">
        <f t="shared" si="51"/>
        <v>2.0373175298756024E-2</v>
      </c>
      <c r="CP28" s="23">
        <f t="shared" si="52"/>
        <v>5.1026542730325017E-2</v>
      </c>
      <c r="CQ28" s="23">
        <f t="shared" si="53"/>
        <v>3.7457063646408488E-2</v>
      </c>
      <c r="CR28" s="23">
        <f t="shared" si="54"/>
        <v>2.6730096764223929E-2</v>
      </c>
      <c r="CS28" s="23">
        <f t="shared" si="55"/>
        <v>1.3820470462149704E-3</v>
      </c>
      <c r="CT28" s="23">
        <f t="shared" si="56"/>
        <v>6.7878761343467584E-2</v>
      </c>
      <c r="CU28" s="22">
        <f t="shared" si="57"/>
        <v>0.99999999999999967</v>
      </c>
      <c r="CV28" s="22">
        <f t="shared" si="58"/>
        <v>0.93212123865653207</v>
      </c>
      <c r="CX28">
        <f t="shared" si="59"/>
        <v>0.58778783297695925</v>
      </c>
      <c r="CY28">
        <f t="shared" si="60"/>
        <v>3.9577713771429407E-3</v>
      </c>
      <c r="CZ28">
        <f t="shared" si="61"/>
        <v>0.18225068841866462</v>
      </c>
      <c r="DA28">
        <f t="shared" si="62"/>
        <v>0</v>
      </c>
      <c r="DB28">
        <f t="shared" si="63"/>
        <v>4.0400748813668848E-2</v>
      </c>
      <c r="DC28">
        <f t="shared" si="64"/>
        <v>1.0950515974150257E-3</v>
      </c>
      <c r="DD28">
        <f t="shared" si="65"/>
        <v>1.8559526914539121E-2</v>
      </c>
      <c r="DE28">
        <f t="shared" si="66"/>
        <v>4.6484088968555277E-2</v>
      </c>
      <c r="DF28">
        <f t="shared" si="67"/>
        <v>6.824516754907331E-2</v>
      </c>
      <c r="DG28">
        <f t="shared" si="68"/>
        <v>4.8701092789805875E-2</v>
      </c>
      <c r="DH28">
        <f t="shared" si="69"/>
        <v>2.5180305941756879E-3</v>
      </c>
      <c r="DI28" s="22">
        <f t="shared" si="70"/>
        <v>0.99999999999999989</v>
      </c>
      <c r="DJ28" s="22">
        <f t="shared" si="71"/>
        <v>0.65657750860041653</v>
      </c>
      <c r="DK28" s="22">
        <f t="shared" si="72"/>
        <v>2.3535656519627236E-2</v>
      </c>
      <c r="DL28" s="22">
        <f t="shared" si="73"/>
        <v>0.10592285285550358</v>
      </c>
      <c r="DM28" s="22">
        <f t="shared" si="74"/>
        <v>0</v>
      </c>
      <c r="DN28" s="22">
        <f t="shared" si="75"/>
        <v>0.16493519508284338</v>
      </c>
      <c r="DO28" s="22">
        <f t="shared" si="76"/>
        <v>0</v>
      </c>
      <c r="DP28" s="22">
        <f t="shared" si="77"/>
        <v>0.28086263534502437</v>
      </c>
      <c r="DQ28" s="22">
        <f t="shared" si="78"/>
        <v>0.19508750405689279</v>
      </c>
      <c r="DR28" s="22">
        <f t="shared" si="79"/>
        <v>3.2914427329300777E-2</v>
      </c>
      <c r="DS28" s="22">
        <f t="shared" si="80"/>
        <v>7.9621215338230925E-3</v>
      </c>
      <c r="DT28" s="22">
        <f t="shared" si="81"/>
        <v>1.4677979013234315</v>
      </c>
      <c r="DU28" s="22">
        <f t="shared" si="82"/>
        <v>0.65657750860041653</v>
      </c>
      <c r="DV28" s="22">
        <f t="shared" si="83"/>
        <v>2.3535656519627236E-2</v>
      </c>
      <c r="DW28" s="22">
        <f t="shared" si="84"/>
        <v>0.21184570571100717</v>
      </c>
      <c r="DX28" s="22">
        <f t="shared" si="85"/>
        <v>0</v>
      </c>
      <c r="DZ28" s="22">
        <f t="shared" si="86"/>
        <v>0.16493519508284338</v>
      </c>
      <c r="EA28" s="22">
        <f t="shared" si="87"/>
        <v>0</v>
      </c>
      <c r="EB28" s="22">
        <f t="shared" si="88"/>
        <v>0.28086263534502437</v>
      </c>
      <c r="EC28" s="22">
        <f t="shared" si="89"/>
        <v>0.19508750405689279</v>
      </c>
      <c r="ED28" s="22">
        <f t="shared" si="90"/>
        <v>6.5828854658601554E-2</v>
      </c>
      <c r="EE28" s="22">
        <f t="shared" si="91"/>
        <v>1.5924243067646185E-2</v>
      </c>
      <c r="EG28" s="22">
        <f t="shared" si="92"/>
        <v>1.3131550172008331</v>
      </c>
      <c r="EH28" s="22">
        <f t="shared" si="93"/>
        <v>4.7071313039254471E-2</v>
      </c>
      <c r="EI28" s="22">
        <f t="shared" si="94"/>
        <v>0.31776855856651076</v>
      </c>
      <c r="EJ28" s="22">
        <f t="shared" si="95"/>
        <v>0</v>
      </c>
      <c r="EL28" s="22">
        <f t="shared" si="96"/>
        <v>0.16493519508284338</v>
      </c>
      <c r="EM28" s="22">
        <f t="shared" si="97"/>
        <v>0</v>
      </c>
      <c r="EN28" s="22">
        <f t="shared" si="98"/>
        <v>0.28086263534502437</v>
      </c>
      <c r="EO28" s="22">
        <f t="shared" si="99"/>
        <v>0.19508750405689279</v>
      </c>
      <c r="EP28" s="22">
        <f t="shared" si="100"/>
        <v>3.2914427329300777E-2</v>
      </c>
      <c r="EQ28" s="22">
        <f t="shared" si="101"/>
        <v>7.9621215338230925E-3</v>
      </c>
      <c r="ER28" s="22">
        <f t="shared" si="102"/>
        <v>2.3597567721544825</v>
      </c>
      <c r="ES28" s="22">
        <f t="shared" si="103"/>
        <v>9.7467672394900084</v>
      </c>
      <c r="EU28" s="86">
        <f t="shared" si="104"/>
        <v>6.3995081510125091</v>
      </c>
      <c r="EV28" s="86">
        <f t="shared" si="105"/>
        <v>0.22939656592539218</v>
      </c>
      <c r="EW28" s="86">
        <f t="shared" si="106"/>
        <v>2.0648107842506862</v>
      </c>
      <c r="EX28" s="86">
        <f t="shared" si="107"/>
        <v>0</v>
      </c>
      <c r="EY28" s="86"/>
      <c r="EZ28" s="86">
        <f t="shared" si="108"/>
        <v>1.6075849560723514</v>
      </c>
      <c r="FA28" s="86">
        <f t="shared" si="109"/>
        <v>0</v>
      </c>
      <c r="FB28" s="86">
        <f t="shared" si="110"/>
        <v>2.737502732977712</v>
      </c>
      <c r="FC28" s="86">
        <f t="shared" si="111"/>
        <v>1.9014724933755969</v>
      </c>
      <c r="FD28" s="86">
        <f t="shared" si="112"/>
        <v>0.64161852399960684</v>
      </c>
      <c r="FE28" s="86">
        <f t="shared" si="113"/>
        <v>0.15520989064540971</v>
      </c>
      <c r="FF28" s="22">
        <f t="shared" si="114"/>
        <v>14.940275683614248</v>
      </c>
      <c r="FG28" s="22">
        <f t="shared" si="115"/>
        <v>15.737104098259264</v>
      </c>
      <c r="FH28" s="22">
        <f t="shared" si="116"/>
        <v>13.038803190238651</v>
      </c>
      <c r="FI28" s="22" t="str">
        <f t="shared" si="117"/>
        <v>Good</v>
      </c>
      <c r="FJ28" s="22">
        <f t="shared" si="118"/>
        <v>147.05956665218864</v>
      </c>
      <c r="FK28" s="22">
        <f t="shared" si="158"/>
        <v>0.63002243657278023</v>
      </c>
      <c r="FL28" s="22">
        <f t="shared" si="119"/>
        <v>0.20322265594909261</v>
      </c>
      <c r="FM28" s="87"/>
      <c r="FN28" s="87">
        <f t="shared" si="120"/>
        <v>-12.420790825697429</v>
      </c>
      <c r="FO28" s="22">
        <f t="shared" si="121"/>
        <v>9.6716753157726182E-2</v>
      </c>
      <c r="FP28" s="88">
        <f t="shared" si="122"/>
        <v>0.13027989959536682</v>
      </c>
      <c r="FQ28" s="88">
        <f t="shared" si="123"/>
        <v>1.4773050564769845</v>
      </c>
      <c r="FR28" s="87">
        <f t="shared" si="124"/>
        <v>6.3995081510125091</v>
      </c>
      <c r="FS28" s="87">
        <f t="shared" si="125"/>
        <v>1.6004918489874909</v>
      </c>
      <c r="FT28" s="87">
        <f t="shared" si="126"/>
        <v>0</v>
      </c>
      <c r="FU28" s="86">
        <f t="shared" si="127"/>
        <v>8</v>
      </c>
      <c r="FV28" s="87">
        <f t="shared" si="128"/>
        <v>0.46431893526319534</v>
      </c>
      <c r="FW28" s="87">
        <f t="shared" si="129"/>
        <v>0</v>
      </c>
      <c r="FX28" s="87">
        <f t="shared" si="130"/>
        <v>0.13027989959536682</v>
      </c>
      <c r="FY28" s="87">
        <f t="shared" si="131"/>
        <v>0.22939656592539218</v>
      </c>
      <c r="FZ28" s="87">
        <f t="shared" si="132"/>
        <v>0.82399540078395428</v>
      </c>
      <c r="GA28" s="87">
        <f t="shared" si="133"/>
        <v>2.737502732977712</v>
      </c>
      <c r="GB28" s="87">
        <f t="shared" si="134"/>
        <v>3.561498133761666</v>
      </c>
      <c r="GC28" s="87">
        <f t="shared" si="135"/>
        <v>1.438501866238334</v>
      </c>
      <c r="GD28" s="87">
        <f t="shared" si="136"/>
        <v>5</v>
      </c>
      <c r="GE28" s="87">
        <f t="shared" si="137"/>
        <v>0</v>
      </c>
      <c r="GF28" s="87">
        <f t="shared" si="138"/>
        <v>5</v>
      </c>
      <c r="GG28" s="86">
        <f t="shared" si="139"/>
        <v>0</v>
      </c>
      <c r="GH28" s="86">
        <f t="shared" si="140"/>
        <v>3.8803190238650531E-2</v>
      </c>
      <c r="GI28" s="86">
        <f t="shared" si="141"/>
        <v>0</v>
      </c>
      <c r="GJ28" s="89">
        <f t="shared" si="142"/>
        <v>3.8803190238650531E-2</v>
      </c>
      <c r="GK28" s="89">
        <f t="shared" si="143"/>
        <v>3.8803190238650531E-2</v>
      </c>
      <c r="GL28" s="87">
        <f t="shared" si="144"/>
        <v>1.9014724933755969</v>
      </c>
      <c r="GM28" s="87">
        <f t="shared" si="145"/>
        <v>5.9724316385752596E-2</v>
      </c>
      <c r="GN28" s="89">
        <f t="shared" si="146"/>
        <v>2</v>
      </c>
      <c r="GO28" s="87"/>
      <c r="GP28" s="86" t="str">
        <f t="shared" si="159"/>
        <v>CALCIC</v>
      </c>
      <c r="GQ28" s="87"/>
      <c r="GR28" s="87">
        <f t="shared" si="147"/>
        <v>0.58189420761385424</v>
      </c>
      <c r="GS28" s="87">
        <f t="shared" si="148"/>
        <v>0.15520989064540971</v>
      </c>
      <c r="GT28" s="87">
        <f t="shared" si="149"/>
        <v>0.73710409825926393</v>
      </c>
      <c r="GU28" s="86">
        <f t="shared" si="150"/>
        <v>0</v>
      </c>
      <c r="GV28" s="86">
        <f t="shared" si="151"/>
        <v>0.64161852399960684</v>
      </c>
    </row>
    <row r="29" spans="1:204" s="22" customFormat="1" ht="18" customHeight="1" x14ac:dyDescent="0.35">
      <c r="A29" s="97" t="s">
        <v>163</v>
      </c>
      <c r="B29" s="97" t="s">
        <v>161</v>
      </c>
      <c r="C29" s="36">
        <f t="shared" si="0"/>
        <v>967.24507205454677</v>
      </c>
      <c r="D29" s="36">
        <f t="shared" si="152"/>
        <v>3.7749536279072302</v>
      </c>
      <c r="F29" s="95">
        <v>64.978351092853472</v>
      </c>
      <c r="G29" s="95">
        <v>0.53184026005744567</v>
      </c>
      <c r="H29" s="95">
        <v>16.204967425431715</v>
      </c>
      <c r="I29" s="95">
        <v>4.6849119717873613</v>
      </c>
      <c r="J29" s="95">
        <v>0.12812981729561296</v>
      </c>
      <c r="K29" s="95">
        <v>1.1269601458672929</v>
      </c>
      <c r="L29" s="95">
        <v>3.936378654854618</v>
      </c>
      <c r="M29" s="95">
        <v>3.7939402217385538</v>
      </c>
      <c r="N29" s="95">
        <v>4.5172845405309445</v>
      </c>
      <c r="O29" s="95">
        <v>0</v>
      </c>
      <c r="P29" s="95">
        <v>0.32069100237066112</v>
      </c>
      <c r="Q29" s="95">
        <v>2</v>
      </c>
      <c r="S29" s="98">
        <v>42.88</v>
      </c>
      <c r="T29" s="98">
        <v>3.46</v>
      </c>
      <c r="U29" s="98">
        <v>14.28</v>
      </c>
      <c r="V29" s="98">
        <v>15.99</v>
      </c>
      <c r="W29" s="98">
        <v>0.54</v>
      </c>
      <c r="X29" s="98">
        <v>14.25</v>
      </c>
      <c r="Y29" s="98">
        <v>12.12</v>
      </c>
      <c r="Z29" s="98">
        <v>2.4300000000000002</v>
      </c>
      <c r="AA29" s="98">
        <v>1.18</v>
      </c>
      <c r="AB29" s="98">
        <v>0.03</v>
      </c>
      <c r="AD29" s="35">
        <f t="shared" si="1"/>
        <v>10.624608486535161</v>
      </c>
      <c r="AE29" s="36"/>
      <c r="AF29" s="50">
        <f t="shared" si="2"/>
        <v>0.26992351588719965</v>
      </c>
      <c r="AG29" s="35">
        <f t="shared" si="3"/>
        <v>55.154572604355693</v>
      </c>
      <c r="AH29" s="35">
        <f t="shared" si="4"/>
        <v>5.7</v>
      </c>
      <c r="AI29" s="35">
        <f t="shared" si="5"/>
        <v>3.7749536279072302</v>
      </c>
      <c r="AJ29" s="35">
        <f t="shared" si="6"/>
        <v>7.9592966689232494</v>
      </c>
      <c r="AK29" s="36"/>
      <c r="AL29" s="37">
        <f t="shared" si="7"/>
        <v>978.97328086757784</v>
      </c>
      <c r="AM29" s="37">
        <f t="shared" si="8"/>
        <v>972.12284850856781</v>
      </c>
      <c r="AN29" s="37">
        <f t="shared" si="9"/>
        <v>1010.0363451497985</v>
      </c>
      <c r="AO29" s="37">
        <f t="shared" si="153"/>
        <v>939.04357724254976</v>
      </c>
      <c r="AP29" s="37">
        <f t="shared" si="10"/>
        <v>954.39202171269608</v>
      </c>
      <c r="AQ29" s="37">
        <f t="shared" si="11"/>
        <v>905.53316479965156</v>
      </c>
      <c r="AR29" s="37">
        <f t="shared" si="12"/>
        <v>989.97836680065541</v>
      </c>
      <c r="AS29" s="37">
        <f t="shared" si="13"/>
        <v>987.88097135487601</v>
      </c>
      <c r="AT29"/>
      <c r="AU29" s="35">
        <f t="shared" si="154"/>
        <v>6.5848178300316462</v>
      </c>
      <c r="AV29"/>
      <c r="AW29" s="37">
        <f t="shared" si="14"/>
        <v>911.61925542846222</v>
      </c>
      <c r="AX29" s="37">
        <f t="shared" si="15"/>
        <v>923.39858283389049</v>
      </c>
      <c r="AY29" s="38"/>
      <c r="AZ29" s="50">
        <f t="shared" si="16"/>
        <v>-0.89688275142857199</v>
      </c>
      <c r="BA29" s="38"/>
      <c r="BB29" s="35">
        <f t="shared" si="17"/>
        <v>10.459166358299735</v>
      </c>
      <c r="BC29" s="35">
        <f t="shared" si="18"/>
        <v>5.0533696553474927</v>
      </c>
      <c r="BD29" s="35">
        <f t="shared" si="19"/>
        <v>5.8853681446282362</v>
      </c>
      <c r="BE29" s="35">
        <f t="shared" si="20"/>
        <v>6.6572177409706441</v>
      </c>
      <c r="BF29" s="35">
        <f t="shared" si="21"/>
        <v>5.5846903866583082</v>
      </c>
      <c r="BG29" s="35">
        <f t="shared" si="22"/>
        <v>3.3206288185332253</v>
      </c>
      <c r="BH29" s="36"/>
      <c r="BI29" s="50">
        <f t="shared" si="155"/>
        <v>0.38630680331060968</v>
      </c>
      <c r="BJ29" s="50" t="str">
        <f t="shared" si="23"/>
        <v>NO</v>
      </c>
      <c r="BK29" s="35">
        <f t="shared" si="24"/>
        <v>7.7103069876118706</v>
      </c>
      <c r="BL29" s="35">
        <f t="shared" si="25"/>
        <v>6.846842525068606</v>
      </c>
      <c r="BM29" s="35">
        <f t="shared" si="26"/>
        <v>7.9642676135755242</v>
      </c>
      <c r="BN29" s="35">
        <f t="shared" si="27"/>
        <v>8.2807418310399505</v>
      </c>
      <c r="BO29" s="35">
        <f t="shared" si="28"/>
        <v>6.3205563732799641</v>
      </c>
      <c r="BP29" s="35">
        <f t="shared" si="29"/>
        <v>-1.5366921334203347</v>
      </c>
      <c r="BQ29" s="35">
        <f t="shared" si="30"/>
        <v>8.1003069876118712</v>
      </c>
      <c r="BR29" s="35">
        <f t="shared" si="31"/>
        <v>7.9960161552748517</v>
      </c>
      <c r="BS29" s="23"/>
      <c r="BT29" s="23">
        <f t="shared" si="32"/>
        <v>1.0814530766415431</v>
      </c>
      <c r="BU29" s="23">
        <f t="shared" si="33"/>
        <v>6.6580902574581201E-3</v>
      </c>
      <c r="BV29" s="23">
        <f t="shared" si="34"/>
        <v>0.15893299816039186</v>
      </c>
      <c r="BW29" s="23">
        <f t="shared" si="35"/>
        <v>0</v>
      </c>
      <c r="BX29" s="23">
        <f t="shared" si="36"/>
        <v>6.5207330802759242E-2</v>
      </c>
      <c r="BY29" s="23">
        <f t="shared" si="37"/>
        <v>1.8062353098941034E-3</v>
      </c>
      <c r="BZ29" s="23">
        <f t="shared" si="38"/>
        <v>2.7961218771828705E-2</v>
      </c>
      <c r="CA29" s="23">
        <f t="shared" si="39"/>
        <v>7.0195455831665129E-2</v>
      </c>
      <c r="CB29" s="23">
        <f t="shared" si="40"/>
        <v>6.1213416529472993E-2</v>
      </c>
      <c r="CC29" s="23">
        <f t="shared" si="41"/>
        <v>4.7956224686090114E-2</v>
      </c>
      <c r="CD29" s="23">
        <f t="shared" si="42"/>
        <v>2.2593897459482807E-3</v>
      </c>
      <c r="CE29" s="23">
        <f t="shared" si="43"/>
        <v>0.11102549811589729</v>
      </c>
      <c r="CF29" s="22">
        <f t="shared" si="44"/>
        <v>1.6346689348529491</v>
      </c>
      <c r="CG29" s="22">
        <f t="shared" si="156"/>
        <v>1.7940054658589553</v>
      </c>
      <c r="CH29" s="22">
        <f t="shared" si="157"/>
        <v>1.5236434367370517</v>
      </c>
      <c r="CI29" s="23">
        <f t="shared" si="45"/>
        <v>0.66157315012463247</v>
      </c>
      <c r="CJ29" s="23">
        <f t="shared" si="46"/>
        <v>4.0730511943429491E-3</v>
      </c>
      <c r="CK29" s="23">
        <f t="shared" si="47"/>
        <v>9.722641372314883E-2</v>
      </c>
      <c r="CL29" s="23">
        <f t="shared" si="48"/>
        <v>0</v>
      </c>
      <c r="CM29" s="23">
        <f t="shared" si="49"/>
        <v>3.989023673997031E-2</v>
      </c>
      <c r="CN29" s="23">
        <f t="shared" si="50"/>
        <v>1.1049548146313726E-3</v>
      </c>
      <c r="CO29" s="23">
        <f t="shared" si="51"/>
        <v>1.7105126411632719E-2</v>
      </c>
      <c r="CP29" s="23">
        <f t="shared" si="52"/>
        <v>4.2941695614947102E-2</v>
      </c>
      <c r="CQ29" s="23">
        <f t="shared" si="53"/>
        <v>3.7446980990667449E-2</v>
      </c>
      <c r="CR29" s="23">
        <f t="shared" si="54"/>
        <v>2.9336964607089778E-2</v>
      </c>
      <c r="CS29" s="23">
        <f t="shared" si="55"/>
        <v>1.3821696233259184E-3</v>
      </c>
      <c r="CT29" s="23">
        <f t="shared" si="56"/>
        <v>6.7919256155611035E-2</v>
      </c>
      <c r="CU29" s="22">
        <f t="shared" si="57"/>
        <v>1</v>
      </c>
      <c r="CV29" s="22">
        <f t="shared" si="58"/>
        <v>0.93208074384438899</v>
      </c>
      <c r="CX29">
        <f t="shared" si="59"/>
        <v>0.60281481702384454</v>
      </c>
      <c r="CY29">
        <f t="shared" si="60"/>
        <v>3.7112987580950768E-3</v>
      </c>
      <c r="CZ29">
        <f t="shared" si="61"/>
        <v>0.17718228978114739</v>
      </c>
      <c r="DA29">
        <f t="shared" si="62"/>
        <v>0</v>
      </c>
      <c r="DB29">
        <f t="shared" si="63"/>
        <v>3.6347342326261252E-2</v>
      </c>
      <c r="DC29">
        <f t="shared" si="64"/>
        <v>1.0068170606321383E-3</v>
      </c>
      <c r="DD29">
        <f t="shared" si="65"/>
        <v>1.5585916154631726E-2</v>
      </c>
      <c r="DE29">
        <f t="shared" si="66"/>
        <v>3.9127782589032475E-2</v>
      </c>
      <c r="DF29">
        <f t="shared" si="67"/>
        <v>6.8242173944731546E-2</v>
      </c>
      <c r="DG29">
        <f t="shared" si="68"/>
        <v>5.346274088761381E-2</v>
      </c>
      <c r="DH29">
        <f t="shared" si="69"/>
        <v>2.5188214740098388E-3</v>
      </c>
      <c r="DI29" s="22">
        <f t="shared" si="70"/>
        <v>0.99999999999999967</v>
      </c>
      <c r="DJ29" s="22">
        <f t="shared" si="71"/>
        <v>0.71366396879051608</v>
      </c>
      <c r="DK29" s="22">
        <f t="shared" si="72"/>
        <v>4.3315623169101189E-2</v>
      </c>
      <c r="DL29" s="22">
        <f t="shared" si="73"/>
        <v>0.14005354988672139</v>
      </c>
      <c r="DM29" s="22">
        <f t="shared" si="74"/>
        <v>1.9738634165470287E-4</v>
      </c>
      <c r="DN29" s="22">
        <f t="shared" si="75"/>
        <v>0.2225581239978621</v>
      </c>
      <c r="DO29" s="22">
        <f t="shared" si="76"/>
        <v>7.6123348017621151E-3</v>
      </c>
      <c r="DP29" s="22">
        <f t="shared" si="77"/>
        <v>0.35355941286807396</v>
      </c>
      <c r="DQ29" s="22">
        <f t="shared" si="78"/>
        <v>0.21612984910142052</v>
      </c>
      <c r="DR29" s="22">
        <f t="shared" si="79"/>
        <v>3.9206891377549458E-2</v>
      </c>
      <c r="DS29" s="22">
        <f t="shared" si="80"/>
        <v>1.2527071213214998E-2</v>
      </c>
      <c r="DT29" s="22">
        <f t="shared" si="81"/>
        <v>1.7488242115478763</v>
      </c>
      <c r="DU29" s="22">
        <f t="shared" si="82"/>
        <v>0.71366396879051608</v>
      </c>
      <c r="DV29" s="22">
        <f t="shared" si="83"/>
        <v>4.3315623169101189E-2</v>
      </c>
      <c r="DW29" s="22">
        <f t="shared" si="84"/>
        <v>0.28010709977344278</v>
      </c>
      <c r="DX29" s="22">
        <f t="shared" si="85"/>
        <v>3.9477268330940574E-4</v>
      </c>
      <c r="DZ29" s="22">
        <f t="shared" si="86"/>
        <v>0.2225581239978621</v>
      </c>
      <c r="EA29" s="22">
        <f t="shared" si="87"/>
        <v>7.6123348017621151E-3</v>
      </c>
      <c r="EB29" s="22">
        <f t="shared" si="88"/>
        <v>0.35355941286807396</v>
      </c>
      <c r="EC29" s="22">
        <f t="shared" si="89"/>
        <v>0.21612984910142052</v>
      </c>
      <c r="ED29" s="22">
        <f t="shared" si="90"/>
        <v>7.8413782755098915E-2</v>
      </c>
      <c r="EE29" s="22">
        <f t="shared" si="91"/>
        <v>2.5054142426429997E-2</v>
      </c>
      <c r="EG29" s="22">
        <f t="shared" si="92"/>
        <v>1.4273279375810322</v>
      </c>
      <c r="EH29" s="22">
        <f t="shared" si="93"/>
        <v>8.6631246338202378E-2</v>
      </c>
      <c r="EI29" s="22">
        <f t="shared" si="94"/>
        <v>0.4201606496601642</v>
      </c>
      <c r="EJ29" s="22">
        <f t="shared" si="95"/>
        <v>5.9215902496410856E-4</v>
      </c>
      <c r="EL29" s="22">
        <f t="shared" si="96"/>
        <v>0.2225581239978621</v>
      </c>
      <c r="EM29" s="22">
        <f t="shared" si="97"/>
        <v>7.6123348017621151E-3</v>
      </c>
      <c r="EN29" s="22">
        <f t="shared" si="98"/>
        <v>0.35355941286807396</v>
      </c>
      <c r="EO29" s="22">
        <f t="shared" si="99"/>
        <v>0.21612984910142052</v>
      </c>
      <c r="EP29" s="22">
        <f t="shared" si="100"/>
        <v>3.9206891377549458E-2</v>
      </c>
      <c r="EQ29" s="22">
        <f t="shared" si="101"/>
        <v>1.2527071213214998E-2</v>
      </c>
      <c r="ER29" s="22">
        <f t="shared" si="102"/>
        <v>2.7863056759642464</v>
      </c>
      <c r="ES29" s="22">
        <f t="shared" si="103"/>
        <v>8.2546578426074788</v>
      </c>
      <c r="EU29" s="86">
        <f t="shared" si="104"/>
        <v>5.8910518769630125</v>
      </c>
      <c r="EV29" s="86">
        <f t="shared" si="105"/>
        <v>0.35755564850025134</v>
      </c>
      <c r="EW29" s="86">
        <f t="shared" si="106"/>
        <v>2.3121882679148849</v>
      </c>
      <c r="EX29" s="86">
        <f t="shared" si="107"/>
        <v>3.2587134263271848E-3</v>
      </c>
      <c r="EY29" s="86"/>
      <c r="EZ29" s="86">
        <f t="shared" si="108"/>
        <v>1.8371411636949602</v>
      </c>
      <c r="FA29" s="86">
        <f t="shared" si="109"/>
        <v>6.2837219171919492E-2</v>
      </c>
      <c r="FB29" s="86">
        <f t="shared" si="110"/>
        <v>2.9185119802591424</v>
      </c>
      <c r="FC29" s="86">
        <f t="shared" si="111"/>
        <v>1.7840779539066118</v>
      </c>
      <c r="FD29" s="86">
        <f t="shared" si="112"/>
        <v>0.64727894678789633</v>
      </c>
      <c r="FE29" s="86">
        <f t="shared" si="113"/>
        <v>0.20681337327013513</v>
      </c>
      <c r="FF29" s="22">
        <f t="shared" si="114"/>
        <v>15.166622823837109</v>
      </c>
      <c r="FG29" s="22">
        <f t="shared" si="115"/>
        <v>16.020715143895139</v>
      </c>
      <c r="FH29" s="22">
        <f t="shared" si="116"/>
        <v>13.382544869930497</v>
      </c>
      <c r="FI29" s="22" t="str">
        <f t="shared" si="117"/>
        <v>BAD</v>
      </c>
      <c r="FJ29" s="22">
        <f t="shared" si="118"/>
        <v>181.94476088975878</v>
      </c>
      <c r="FK29" s="22">
        <f t="shared" si="158"/>
        <v>0.61369319668939026</v>
      </c>
      <c r="FL29" s="22">
        <f t="shared" si="119"/>
        <v>0.18088747398721025</v>
      </c>
      <c r="FM29" s="87"/>
      <c r="FN29" s="87">
        <f t="shared" si="120"/>
        <v>-11.145144844750458</v>
      </c>
      <c r="FO29" s="22">
        <f t="shared" si="121"/>
        <v>0.10583469546367892</v>
      </c>
      <c r="FP29" s="88">
        <f t="shared" si="122"/>
        <v>0.16046726692883956</v>
      </c>
      <c r="FQ29" s="88">
        <f t="shared" si="123"/>
        <v>1.6766738967661206</v>
      </c>
      <c r="FR29" s="87">
        <f t="shared" si="124"/>
        <v>5.8910518769630125</v>
      </c>
      <c r="FS29" s="87">
        <f t="shared" si="125"/>
        <v>2.1089481230369875</v>
      </c>
      <c r="FT29" s="87">
        <f t="shared" si="126"/>
        <v>0</v>
      </c>
      <c r="FU29" s="86">
        <f t="shared" si="127"/>
        <v>8</v>
      </c>
      <c r="FV29" s="87">
        <f t="shared" si="128"/>
        <v>0.20324014487789732</v>
      </c>
      <c r="FW29" s="87">
        <f t="shared" si="129"/>
        <v>3.2587134263271848E-3</v>
      </c>
      <c r="FX29" s="87">
        <f t="shared" si="130"/>
        <v>0.16046726692883956</v>
      </c>
      <c r="FY29" s="87">
        <f t="shared" si="131"/>
        <v>0.35755564850025134</v>
      </c>
      <c r="FZ29" s="87">
        <f t="shared" si="132"/>
        <v>0.72452177373331539</v>
      </c>
      <c r="GA29" s="87">
        <f t="shared" si="133"/>
        <v>2.9185119802591424</v>
      </c>
      <c r="GB29" s="87">
        <f t="shared" si="134"/>
        <v>3.6430337539924578</v>
      </c>
      <c r="GC29" s="87">
        <f t="shared" si="135"/>
        <v>1.3569662460075422</v>
      </c>
      <c r="GD29" s="87">
        <f t="shared" si="136"/>
        <v>5</v>
      </c>
      <c r="GE29" s="87">
        <f t="shared" si="137"/>
        <v>0</v>
      </c>
      <c r="GF29" s="87">
        <f t="shared" si="138"/>
        <v>5</v>
      </c>
      <c r="GG29" s="86">
        <f t="shared" si="139"/>
        <v>0</v>
      </c>
      <c r="GH29" s="86">
        <f t="shared" si="140"/>
        <v>0.31970765075857832</v>
      </c>
      <c r="GI29" s="86">
        <f t="shared" si="141"/>
        <v>6.2837219171919492E-2</v>
      </c>
      <c r="GJ29" s="89">
        <f t="shared" si="142"/>
        <v>0.3825448699304978</v>
      </c>
      <c r="GK29" s="89">
        <f t="shared" si="143"/>
        <v>0.3825448699304978</v>
      </c>
      <c r="GL29" s="87">
        <f t="shared" si="144"/>
        <v>1.6174551300695021</v>
      </c>
      <c r="GM29" s="87">
        <f t="shared" si="145"/>
        <v>0</v>
      </c>
      <c r="GN29" s="89">
        <f t="shared" si="146"/>
        <v>2</v>
      </c>
      <c r="GO29" s="87"/>
      <c r="GP29" s="86" t="str">
        <f t="shared" si="159"/>
        <v>CALCIC</v>
      </c>
      <c r="GQ29" s="87"/>
      <c r="GR29" s="87">
        <f t="shared" si="147"/>
        <v>0.64727894678789633</v>
      </c>
      <c r="GS29" s="87">
        <f t="shared" si="148"/>
        <v>0.20681337327013513</v>
      </c>
      <c r="GT29" s="87">
        <f t="shared" si="149"/>
        <v>0.85409232005803148</v>
      </c>
      <c r="GU29" s="86">
        <f t="shared" si="150"/>
        <v>0</v>
      </c>
      <c r="GV29" s="86">
        <f t="shared" si="151"/>
        <v>0.64727894678789633</v>
      </c>
    </row>
    <row r="30" spans="1:204" s="22" customFormat="1" ht="18" customHeight="1" x14ac:dyDescent="0.35">
      <c r="A30" s="97" t="s">
        <v>165</v>
      </c>
      <c r="B30" s="97" t="s">
        <v>166</v>
      </c>
      <c r="C30" s="36">
        <f t="shared" si="0"/>
        <v>818.85931913081367</v>
      </c>
      <c r="D30" s="36">
        <f t="shared" ref="D30:D35" si="161">AI30</f>
        <v>0.1457058331526131</v>
      </c>
      <c r="F30" s="96">
        <v>71.375368281323389</v>
      </c>
      <c r="G30" s="96">
        <v>0.20952456591559904</v>
      </c>
      <c r="H30" s="96">
        <v>12.387907086389625</v>
      </c>
      <c r="I30" s="96">
        <v>1.5349246156941434</v>
      </c>
      <c r="J30" s="96">
        <v>6.4408772948683649E-2</v>
      </c>
      <c r="K30" s="96">
        <v>0.45997547556652107</v>
      </c>
      <c r="L30" s="96">
        <v>2.2427140981114317</v>
      </c>
      <c r="M30" s="96">
        <v>4.0835473623078986</v>
      </c>
      <c r="N30" s="96">
        <v>1.6777245493227511</v>
      </c>
      <c r="O30" s="96">
        <v>0</v>
      </c>
      <c r="P30" s="96">
        <v>4.6928071776502885E-2</v>
      </c>
      <c r="Q30" s="95">
        <v>5</v>
      </c>
      <c r="S30" s="99">
        <v>46.78</v>
      </c>
      <c r="T30" s="99">
        <v>1.23</v>
      </c>
      <c r="U30" s="99">
        <v>7.74</v>
      </c>
      <c r="V30" s="99">
        <v>13.091000000000001</v>
      </c>
      <c r="W30" s="98">
        <v>0.24</v>
      </c>
      <c r="X30" s="99">
        <v>14.53</v>
      </c>
      <c r="Y30" s="99">
        <v>11.09</v>
      </c>
      <c r="Z30" s="98">
        <v>1.46</v>
      </c>
      <c r="AA30" s="98">
        <v>0.17</v>
      </c>
      <c r="AB30" s="98"/>
      <c r="AD30" s="35">
        <f t="shared" si="1"/>
        <v>1.4485483170893911</v>
      </c>
      <c r="AE30" s="36"/>
      <c r="AF30" s="50">
        <f t="shared" si="2"/>
        <v>0.26999444862952443</v>
      </c>
      <c r="AG30" s="35">
        <f t="shared" si="3"/>
        <v>72.270201280929896</v>
      </c>
      <c r="AH30" s="35">
        <f t="shared" si="4"/>
        <v>0.2</v>
      </c>
      <c r="AI30" s="35">
        <f t="shared" si="5"/>
        <v>0.1457058331526131</v>
      </c>
      <c r="AJ30" s="35">
        <f t="shared" si="6"/>
        <v>1.0080346481341351</v>
      </c>
      <c r="AK30" s="36"/>
      <c r="AL30" s="37">
        <f t="shared" ref="AL30:AL35" si="162">1781-132.74*EU30+116.6*EV30-69.41*EZ30+101.62*FD30</f>
        <v>807.47189104003451</v>
      </c>
      <c r="AM30" s="37">
        <f t="shared" si="8"/>
        <v>803.49812772471739</v>
      </c>
      <c r="AN30" s="37">
        <f t="shared" ref="AN30:AN35" si="163">2061-178.4*EU30</f>
        <v>825.11370406358878</v>
      </c>
      <c r="AO30" s="37">
        <f t="shared" ref="AO30:AO35" si="164">(24429.2)/(2.31+42.1*CM30+32.2*CP30+2.21*LN(CI30)-1.4*LN(CJ30)-2.666*LN((CM30+CO30)*CK30))</f>
        <v>827.5802502969043</v>
      </c>
      <c r="AP30" s="37">
        <f t="shared" si="10"/>
        <v>830.60865087590696</v>
      </c>
      <c r="AQ30" s="37">
        <f t="shared" si="11"/>
        <v>800.02126684608425</v>
      </c>
      <c r="AR30" s="37">
        <f t="shared" si="12"/>
        <v>822.39359992414677</v>
      </c>
      <c r="AS30" s="37">
        <f t="shared" si="13"/>
        <v>834.18706227512587</v>
      </c>
      <c r="AT30"/>
      <c r="AU30" s="35">
        <f t="shared" si="154"/>
        <v>2.7629364316122706</v>
      </c>
      <c r="AV30"/>
      <c r="AW30" s="37">
        <f t="shared" ref="AW30:AW35" si="165">(71975-11896*LN(FL30))/(8.3144*LN(FJ30)+58)</f>
        <v>873.88682749859618</v>
      </c>
      <c r="AX30" s="37">
        <f t="shared" ref="AX30:AX35" si="166">107*LN(DD30)-108*LN(FL30)+1184</f>
        <v>861.49761667331825</v>
      </c>
      <c r="AY30" s="38"/>
      <c r="AZ30" s="50">
        <f t="shared" si="16"/>
        <v>-1.2608656558562199</v>
      </c>
      <c r="BA30" s="38"/>
      <c r="BB30" s="35">
        <f t="shared" ref="BB30:BB35" si="167">10*(EXP(125.93-9.5876*EU30*13/FH30-10.116*EV30*13/FH30-8.1735*EW30*13/FH30-9.2261*EZ30*13/FH30-8.7934*FB30*13/FH30-1.6659*FC30+2.4835*FD30+2.5192*FE30))/1000</f>
        <v>1.0283790778061759</v>
      </c>
      <c r="BC30" s="35">
        <f t="shared" ref="BC30:BC35" si="168">10*(EXP(38.723-2.6957*EU30*13/FH30-2.3565*EV30*13/FH30-1.3006*EW30*13/FH30-2.778*EZ30*13/FH30-2.4838*FB30*13/FH30-0.6614*FC30-0.2705*FD30+0.1117*FE30))/1000</f>
        <v>1.3575787419423031</v>
      </c>
      <c r="BD30" s="35">
        <f t="shared" ref="BD30:BD35" si="169">10*(24023-1925.3*EU30*13/FH30-1720.6*EV30*13/FH30-1478.5*EW30*13/FH30-1843.2*EZ30*13/FH30-1746.9*FB30*13/FH30-158.28*FC30-40.444*FD30+253.52*FE30)/1000</f>
        <v>0.72860851759779566</v>
      </c>
      <c r="BE30" s="35">
        <f t="shared" ref="BE30:BE35" si="170">10*(26106-1991.9*EU30*13/FH30-3035*EV30*13/FH30-1472.2*EW30*13/FH30-2454.8*EZ30*13/FH30-2125.8*FB30*13/FH30-830.64*FC30+2708.8*FD30+2204.1*FE30)/1000</f>
        <v>-5.9330494983043467</v>
      </c>
      <c r="BF30" s="35">
        <f t="shared" ref="BF30:BF35" si="171">10*EXP(26.543-1.2085*EU30*13/FH30-3.8593*EV30*13/FH30-1.1054*EW30*13/FH30-2.9068*EZ30*13/FH30-2.6483*FB30*13/FH30+0.5134*FC30+2.9752*FD30+1.8147*FE30)/1000</f>
        <v>2.8100618786168043</v>
      </c>
      <c r="BG30" s="35">
        <f t="shared" ref="BG30:BG35" si="172">10*(19.209*EXP(1.438*EW30*13/FF30))/1000</f>
        <v>1.0303985720287758</v>
      </c>
      <c r="BH30" s="36"/>
      <c r="BI30" s="50">
        <f t="shared" ref="BI30:BI35" si="173">EZ30/(EZ30+FB30)</f>
        <v>0.33573469642965531</v>
      </c>
      <c r="BJ30" s="50" t="str">
        <f t="shared" si="23"/>
        <v>NO</v>
      </c>
      <c r="BK30" s="35">
        <f t="shared" ref="BK30:BK35" si="174">(-3.92+5.03*EW30)</f>
        <v>2.8749976386071063</v>
      </c>
      <c r="BL30" s="35">
        <f t="shared" ref="BL30:BL35" si="175">1.27*(EW30^2.01)</f>
        <v>2.3246232887664879</v>
      </c>
      <c r="BM30" s="35">
        <f t="shared" ref="BM30:BM35" si="176">0.26*EXP(1.48*EW30)</f>
        <v>1.9198550970321693</v>
      </c>
      <c r="BN30" s="35">
        <f t="shared" ref="BN30:BN35" si="177">(-4.76+5.64*EW30)</f>
        <v>2.8590430778815268</v>
      </c>
      <c r="BO30" s="35">
        <f t="shared" ref="BO30:BO35" si="178">(-3.46+4.23*EW30)</f>
        <v>2.2542823084111454</v>
      </c>
      <c r="BP30" s="35">
        <f t="shared" si="29"/>
        <v>0.91953250571086143</v>
      </c>
      <c r="BQ30" s="35">
        <f t="shared" ref="BQ30:BQ35" si="179">(5.03*EW30-3.53)</f>
        <v>3.2649976386071065</v>
      </c>
      <c r="BR30" s="35">
        <f t="shared" ref="BR30:BR35" si="180">(-3.01+4.76*EW30)</f>
        <v>3.4202562146659696</v>
      </c>
      <c r="BS30" s="23"/>
      <c r="BT30" s="23">
        <f t="shared" si="32"/>
        <v>1.1879204431327883</v>
      </c>
      <c r="BU30" s="23">
        <f t="shared" si="33"/>
        <v>2.6230309658582633E-3</v>
      </c>
      <c r="BV30" s="23">
        <f t="shared" si="34"/>
        <v>0.1214965240277128</v>
      </c>
      <c r="BW30" s="23">
        <f t="shared" si="35"/>
        <v>0</v>
      </c>
      <c r="BX30" s="23">
        <f t="shared" si="36"/>
        <v>2.136397391788793E-2</v>
      </c>
      <c r="BY30" s="23">
        <f t="shared" si="37"/>
        <v>9.0796508121492373E-4</v>
      </c>
      <c r="BZ30" s="23">
        <f t="shared" si="38"/>
        <v>1.141253747894823E-2</v>
      </c>
      <c r="CA30" s="23">
        <f t="shared" si="39"/>
        <v>3.9993189736175924E-2</v>
      </c>
      <c r="CB30" s="23">
        <f t="shared" si="40"/>
        <v>6.5886089658059407E-2</v>
      </c>
      <c r="CC30" s="23">
        <f t="shared" si="41"/>
        <v>1.7810995682648427E-2</v>
      </c>
      <c r="CD30" s="23">
        <f t="shared" si="42"/>
        <v>3.3062606491966772E-4</v>
      </c>
      <c r="CE30" s="23">
        <f t="shared" si="43"/>
        <v>0.27756374528974326</v>
      </c>
      <c r="CF30" s="22">
        <f t="shared" ref="CF30:CF35" si="181">SUM(BT30:CE30)</f>
        <v>1.747309121035957</v>
      </c>
      <c r="CG30" s="22">
        <f t="shared" ref="CG30:CG35" si="182">BT30+BU30+BX30+BY30+BZ30+CA30+2*(BV30+BW30+CB30+CC30+CD30)</f>
        <v>1.6752696111795542</v>
      </c>
      <c r="CH30" s="22">
        <f t="shared" ref="CH30:CH35" si="183">SUM(BT30:CD30)</f>
        <v>1.4697453757462138</v>
      </c>
      <c r="CI30" s="23">
        <f t="shared" ref="CI30:CI35" si="184">BT30/$CF30</f>
        <v>0.6798570606833928</v>
      </c>
      <c r="CJ30" s="23">
        <f t="shared" ref="CJ30:CJ35" si="185">BU30/$CF30</f>
        <v>1.5011831245424405E-3</v>
      </c>
      <c r="CK30" s="23">
        <f t="shared" ref="CK30:CK35" si="186">BV30/$CF30</f>
        <v>6.9533503010434164E-2</v>
      </c>
      <c r="CL30" s="23">
        <f t="shared" ref="CL30:CL35" si="187">BW30/$CF30</f>
        <v>0</v>
      </c>
      <c r="CM30" s="23">
        <f t="shared" ref="CM30:CM35" si="188">BX30/$CF30</f>
        <v>1.2226785553103223E-2</v>
      </c>
      <c r="CN30" s="23">
        <f t="shared" ref="CN30:CN35" si="189">BY30/$CF30</f>
        <v>5.1963620534219092E-4</v>
      </c>
      <c r="CO30" s="23">
        <f t="shared" ref="CO30:CO35" si="190">BZ30/$CF30</f>
        <v>6.5314931064870104E-3</v>
      </c>
      <c r="CP30" s="23">
        <f t="shared" ref="CP30:CP35" si="191">CA30/$CF30</f>
        <v>2.2888445584525123E-2</v>
      </c>
      <c r="CQ30" s="23">
        <f t="shared" ref="CQ30:CQ35" si="192">CB30/$CF30</f>
        <v>3.7707174343024313E-2</v>
      </c>
      <c r="CR30" s="23">
        <f t="shared" ref="CR30:CR35" si="193">CC30/$CF30</f>
        <v>1.01933856283475E-2</v>
      </c>
      <c r="CS30" s="23">
        <f t="shared" ref="CS30:CS35" si="194">CD30/$CF30</f>
        <v>1.892201333692139E-4</v>
      </c>
      <c r="CT30" s="23">
        <f t="shared" ref="CT30:CT35" si="195">CE30/$CF30</f>
        <v>0.15885211262743212</v>
      </c>
      <c r="CU30" s="22">
        <f t="shared" ref="CU30:CU35" si="196">SUM(CI30:CT30)</f>
        <v>1</v>
      </c>
      <c r="CV30" s="22">
        <f t="shared" si="58"/>
        <v>0.84114788737256785</v>
      </c>
      <c r="CX30">
        <f t="shared" si="59"/>
        <v>0.709092097896037</v>
      </c>
      <c r="CY30">
        <f t="shared" si="60"/>
        <v>1.5657366123960144E-3</v>
      </c>
      <c r="CZ30">
        <f t="shared" si="61"/>
        <v>0.14504712938971934</v>
      </c>
      <c r="DA30">
        <f t="shared" si="62"/>
        <v>0</v>
      </c>
      <c r="DB30">
        <f t="shared" si="63"/>
        <v>1.2752558618218829E-2</v>
      </c>
      <c r="DC30">
        <f t="shared" si="64"/>
        <v>5.4198146683722586E-4</v>
      </c>
      <c r="DD30">
        <f t="shared" si="65"/>
        <v>6.8123586811275616E-3</v>
      </c>
      <c r="DE30">
        <f t="shared" si="66"/>
        <v>2.3872688592504698E-2</v>
      </c>
      <c r="DF30">
        <f t="shared" si="67"/>
        <v>7.8657296972836674E-2</v>
      </c>
      <c r="DG30">
        <f t="shared" si="68"/>
        <v>2.126343791326548E-2</v>
      </c>
      <c r="DH30">
        <f t="shared" si="69"/>
        <v>3.9471385705716291E-4</v>
      </c>
      <c r="DI30" s="22">
        <f t="shared" ref="DI30:DI35" si="197">SUM(CX30:DH30)</f>
        <v>0.99999999999999978</v>
      </c>
      <c r="DJ30" s="22">
        <f t="shared" si="71"/>
        <v>0.77857277192211616</v>
      </c>
      <c r="DK30" s="22">
        <f t="shared" si="72"/>
        <v>1.5398328467628458E-2</v>
      </c>
      <c r="DL30" s="22">
        <f t="shared" si="73"/>
        <v>7.5911377879777558E-2</v>
      </c>
      <c r="DM30" s="22">
        <f t="shared" si="74"/>
        <v>0</v>
      </c>
      <c r="DN30" s="22">
        <f t="shared" si="75"/>
        <v>0.1822081551754855</v>
      </c>
      <c r="DO30" s="22">
        <f t="shared" si="76"/>
        <v>3.3832599118942732E-3</v>
      </c>
      <c r="DP30" s="22">
        <f t="shared" si="77"/>
        <v>0.36050654519109576</v>
      </c>
      <c r="DQ30" s="22">
        <f t="shared" si="78"/>
        <v>0.1977623784269599</v>
      </c>
      <c r="DR30" s="22">
        <f t="shared" si="79"/>
        <v>2.3556403872930946E-2</v>
      </c>
      <c r="DS30" s="22">
        <f t="shared" si="80"/>
        <v>1.8047475476665677E-3</v>
      </c>
      <c r="DT30" s="22">
        <f t="shared" ref="DT30:DT35" si="198">SUM(DJ30:DS30)</f>
        <v>1.6391039683955555</v>
      </c>
      <c r="DU30" s="22">
        <f t="shared" si="82"/>
        <v>0.77857277192211616</v>
      </c>
      <c r="DV30" s="22">
        <f t="shared" si="83"/>
        <v>1.5398328467628458E-2</v>
      </c>
      <c r="DW30" s="22">
        <f t="shared" si="84"/>
        <v>0.15182275575955512</v>
      </c>
      <c r="DX30" s="22">
        <f t="shared" si="85"/>
        <v>0</v>
      </c>
      <c r="DZ30" s="22">
        <f t="shared" si="86"/>
        <v>0.1822081551754855</v>
      </c>
      <c r="EA30" s="22">
        <f t="shared" si="87"/>
        <v>3.3832599118942732E-3</v>
      </c>
      <c r="EB30" s="22">
        <f t="shared" si="88"/>
        <v>0.36050654519109576</v>
      </c>
      <c r="EC30" s="22">
        <f t="shared" si="89"/>
        <v>0.1977623784269599</v>
      </c>
      <c r="ED30" s="22">
        <f t="shared" si="90"/>
        <v>4.7112807745861893E-2</v>
      </c>
      <c r="EE30" s="22">
        <f t="shared" si="91"/>
        <v>3.6094950953331354E-3</v>
      </c>
      <c r="EG30" s="22">
        <f t="shared" ref="EG30:EG35" si="199">DJ30*2</f>
        <v>1.5571455438442323</v>
      </c>
      <c r="EH30" s="22">
        <f t="shared" ref="EH30:EH35" si="200">DK30*2</f>
        <v>3.0796656935256916E-2</v>
      </c>
      <c r="EI30" s="22">
        <f t="shared" ref="EI30:EI35" si="201">DL30*3</f>
        <v>0.22773413363933268</v>
      </c>
      <c r="EJ30" s="22">
        <f t="shared" ref="EJ30:EJ35" si="202">DM30*3</f>
        <v>0</v>
      </c>
      <c r="EL30" s="22">
        <f t="shared" ref="EL30:EL35" si="203">DN30</f>
        <v>0.1822081551754855</v>
      </c>
      <c r="EM30" s="22">
        <f t="shared" ref="EM30:EM35" si="204">DO30</f>
        <v>3.3832599118942732E-3</v>
      </c>
      <c r="EN30" s="22">
        <f t="shared" ref="EN30:EN35" si="205">DP30</f>
        <v>0.36050654519109576</v>
      </c>
      <c r="EO30" s="22">
        <f t="shared" ref="EO30:EO35" si="206">DQ30</f>
        <v>0.1977623784269599</v>
      </c>
      <c r="EP30" s="22">
        <f t="shared" ref="EP30:EP35" si="207">DR30</f>
        <v>2.3556403872930946E-2</v>
      </c>
      <c r="EQ30" s="22">
        <f t="shared" ref="EQ30:EQ35" si="208">DS30</f>
        <v>1.8047475476665677E-3</v>
      </c>
      <c r="ER30" s="22">
        <f t="shared" ref="ER30:ER35" si="209">SUM(EG30:EQ30)</f>
        <v>2.5848978245448544</v>
      </c>
      <c r="ES30" s="22">
        <f t="shared" ref="ES30:ES35" si="210">23/ER30</f>
        <v>8.8978371917078825</v>
      </c>
      <c r="EU30" s="86">
        <f t="shared" ref="EU30:EU35" si="211">DU30*$ES30</f>
        <v>6.9276137664597037</v>
      </c>
      <c r="EV30" s="86">
        <f t="shared" ref="EV30:EV35" si="212">DV30*$ES30</f>
        <v>0.13701181972939874</v>
      </c>
      <c r="EW30" s="86">
        <f t="shared" ref="EW30:EW35" si="213">DW30*$ES30</f>
        <v>1.3508941627449516</v>
      </c>
      <c r="EX30" s="86">
        <f t="shared" ref="EX30:EX35" si="214">DX30*$ES30</f>
        <v>0</v>
      </c>
      <c r="EY30" s="86"/>
      <c r="EZ30" s="86">
        <f t="shared" ref="EZ30:EZ35" si="215">DZ30*$ES30</f>
        <v>1.621258499752916</v>
      </c>
      <c r="FA30" s="86">
        <f t="shared" ref="FA30:FA35" si="216">EA30*$ES30</f>
        <v>3.0103695873267198E-2</v>
      </c>
      <c r="FB30" s="86">
        <f t="shared" ref="FB30:FB35" si="217">EB30*$ES30</f>
        <v>3.2077285456554505</v>
      </c>
      <c r="FC30" s="86">
        <f t="shared" ref="FC30:FC35" si="218">EC30*$ES30</f>
        <v>1.7596574458880123</v>
      </c>
      <c r="FD30" s="86">
        <f t="shared" ref="FD30:FD35" si="219">ED30*$ES30</f>
        <v>0.41920209296691313</v>
      </c>
      <c r="FE30" s="86">
        <f t="shared" ref="FE30:FE35" si="220">EE30*$ES30</f>
        <v>3.2116699702542363E-2</v>
      </c>
      <c r="FF30" s="22">
        <f t="shared" ref="FF30:FF35" si="221">SUM(EU30:FC30)</f>
        <v>15.034267936103699</v>
      </c>
      <c r="FG30" s="22">
        <f t="shared" ref="FG30:FG35" si="222">SUM(EU30:FE30)</f>
        <v>15.485586728773153</v>
      </c>
      <c r="FH30" s="22">
        <f t="shared" ref="FH30:FH35" si="223">SUM(EU30:FB30)</f>
        <v>13.274610490215688</v>
      </c>
      <c r="FI30" s="22" t="str">
        <f t="shared" ref="FI30:FI35" si="224">IF(OR(FG30&gt;16,FG30&lt;15),"BAD","Good")</f>
        <v>Good</v>
      </c>
      <c r="FJ30" s="22">
        <f t="shared" ref="FJ30:FJ35" si="225">(FB30*13/(EU30+EV30+EW30+EZ30+FA30+FB30))/(DD30)</f>
        <v>461.12818555438338</v>
      </c>
      <c r="FK30" s="22">
        <f t="shared" si="158"/>
        <v>0.66426530357034475</v>
      </c>
      <c r="FL30" s="22">
        <f t="shared" ref="FL30:FL35" si="226">DE30/(DE30+CZ30)</f>
        <v>0.14132556426870468</v>
      </c>
      <c r="FM30" s="87"/>
      <c r="FN30" s="87">
        <f t="shared" si="120"/>
        <v>-14.689858422703896</v>
      </c>
      <c r="FO30" s="22">
        <f t="shared" si="121"/>
        <v>8.0993932262905244E-2</v>
      </c>
      <c r="FP30" s="88">
        <f t="shared" ref="FP30:FP35" si="227">(EZ30)*FO30/(1+2*FO30)</f>
        <v>0.11300643071968186</v>
      </c>
      <c r="FQ30" s="88">
        <f t="shared" ref="FQ30:FQ35" si="228">(EZ30)-FP30</f>
        <v>1.5082520690332342</v>
      </c>
      <c r="FR30" s="87">
        <f t="shared" ref="FR30:FR35" si="229">EU30</f>
        <v>6.9276137664597037</v>
      </c>
      <c r="FS30" s="87">
        <f t="shared" ref="FS30:FS35" si="230">IF(EU30+EW30&gt;8,8-EU30,EW30)</f>
        <v>1.0723862335402963</v>
      </c>
      <c r="FT30" s="87">
        <f t="shared" ref="FT30:FT35" si="231">IF(FS30+FR30=8,0,IF(8&lt;FS30+FR30+EV30,EV30,8-FR30-FS30))</f>
        <v>0</v>
      </c>
      <c r="FU30" s="86">
        <f t="shared" ref="FU30:FU35" si="232">FS30+FR30+FT30</f>
        <v>8</v>
      </c>
      <c r="FV30" s="87">
        <f t="shared" ref="FV30:FV35" si="233">IF(EW30-FS30&lt;0,0,EW30-FS30)</f>
        <v>0.27850792920465528</v>
      </c>
      <c r="FW30" s="87">
        <f t="shared" ref="FW30:FW35" si="234">EX30</f>
        <v>0</v>
      </c>
      <c r="FX30" s="87">
        <f t="shared" ref="FX30:FX35" si="235">FP30</f>
        <v>0.11300643071968186</v>
      </c>
      <c r="FY30" s="87">
        <f t="shared" ref="FY30:FY35" si="236">EV30-FT30</f>
        <v>0.13701181972939874</v>
      </c>
      <c r="FZ30" s="87">
        <f t="shared" ref="FZ30:FZ35" si="237">SUM(FV30:FY30)</f>
        <v>0.52852617965373594</v>
      </c>
      <c r="GA30" s="87">
        <f t="shared" ref="GA30:GA35" si="238">IF(FZ30&gt;5,0,IF(FZ30+FB30&lt;5,FB30,5-FZ30))</f>
        <v>3.2077285456554505</v>
      </c>
      <c r="GB30" s="87">
        <f t="shared" ref="GB30:GB35" si="239">GA30+FZ30</f>
        <v>3.7362547253091867</v>
      </c>
      <c r="GC30" s="87">
        <f t="shared" ref="GC30:GC35" si="240">IF(GB30&gt;5,0,IF(GB30+FQ30&lt;5,FQ30,5-GB30))</f>
        <v>1.2637452746908133</v>
      </c>
      <c r="GD30" s="87">
        <f t="shared" ref="GD30:GD35" si="241">GC30+GB30</f>
        <v>5</v>
      </c>
      <c r="GE30" s="87">
        <f t="shared" ref="GE30:GE35" si="242">IF(GD30=5,0,IF(GD30+FA30&lt;5,FA30,5-GD30))</f>
        <v>0</v>
      </c>
      <c r="GF30" s="87">
        <f t="shared" ref="GF30:GF35" si="243">GE30+GD30</f>
        <v>5</v>
      </c>
      <c r="GG30" s="86">
        <f t="shared" ref="GG30:GG35" si="244">FB30-GA30</f>
        <v>0</v>
      </c>
      <c r="GH30" s="86">
        <f t="shared" ref="GH30:GH35" si="245">FQ30-GC30</f>
        <v>0.24450679434242084</v>
      </c>
      <c r="GI30" s="86">
        <f t="shared" ref="GI30:GI35" si="246">FA30-GE30</f>
        <v>3.0103695873267198E-2</v>
      </c>
      <c r="GJ30" s="89">
        <f t="shared" ref="GJ30:GJ35" si="247">SUM(GG30:GI30)</f>
        <v>0.27461049021568806</v>
      </c>
      <c r="GK30" s="89">
        <f t="shared" ref="GK30:GK35" si="248">GJ30</f>
        <v>0.27461049021568806</v>
      </c>
      <c r="GL30" s="87">
        <f t="shared" ref="GL30:GL35" si="249">IF(FC30&gt;2-GK30,2-GK30,FC30)</f>
        <v>1.7253895097843119</v>
      </c>
      <c r="GM30" s="87">
        <f t="shared" ref="GM30:GM35" si="250">IF(GL30+GK30+FD30&lt;2,FD30,2-GK30-GL30)</f>
        <v>0</v>
      </c>
      <c r="GN30" s="89">
        <f t="shared" ref="GN30:GN35" si="251">GL30+GK30+GM30</f>
        <v>2</v>
      </c>
      <c r="GO30" s="87"/>
      <c r="GP30" s="86" t="str">
        <f t="shared" ref="GP30:GP35" si="252">IF(GL30&lt;1,"Mg-Fe-Li grpup",IF(AND(GL30+GM30&gt;=1,GM30&lt;0.5),"CALCIC",IF(AND(GL30+GM30&gt;=1,GM30&gt;0.5),"SODIC-CALCIC")))</f>
        <v>CALCIC</v>
      </c>
      <c r="GQ30" s="87"/>
      <c r="GR30" s="87">
        <f t="shared" ref="GR30:GR35" si="253">IF(FD30-GM30&gt;0,FD30-GM30,0)</f>
        <v>0.41920209296691313</v>
      </c>
      <c r="GS30" s="87">
        <f t="shared" ref="GS30:GS35" si="254">FE30</f>
        <v>3.2116699702542363E-2</v>
      </c>
      <c r="GT30" s="87">
        <f t="shared" ref="GT30:GT35" si="255">GS30+GR30</f>
        <v>0.45131879266945552</v>
      </c>
      <c r="GU30" s="86">
        <f t="shared" ref="GU30:GU35" si="256">IF(2-FC30-EZ30&lt;=0.1,0,2-FC30-EZ30)</f>
        <v>0</v>
      </c>
      <c r="GV30" s="86">
        <f t="shared" ref="GV30:GV35" si="257">FD30-GU30</f>
        <v>0.41920209296691313</v>
      </c>
    </row>
    <row r="31" spans="1:204" s="22" customFormat="1" ht="18" customHeight="1" x14ac:dyDescent="0.35">
      <c r="A31" s="97" t="s">
        <v>165</v>
      </c>
      <c r="B31" s="97" t="s">
        <v>166</v>
      </c>
      <c r="C31" s="36">
        <f t="shared" si="0"/>
        <v>814.34436971369098</v>
      </c>
      <c r="D31" s="36">
        <f t="shared" si="161"/>
        <v>-0.42545649500303995</v>
      </c>
      <c r="F31" s="96">
        <v>70.993363882701473</v>
      </c>
      <c r="G31" s="96">
        <v>0.22186012462109814</v>
      </c>
      <c r="H31" s="96">
        <v>12.576123836960626</v>
      </c>
      <c r="I31" s="96">
        <v>1.6833492414086968</v>
      </c>
      <c r="J31" s="96">
        <v>6.7194221688635064E-2</v>
      </c>
      <c r="K31" s="96">
        <v>0.56104747270190081</v>
      </c>
      <c r="L31" s="96">
        <v>2.4150139987398545</v>
      </c>
      <c r="M31" s="96">
        <v>4.0668346698681903</v>
      </c>
      <c r="N31" s="96">
        <v>1.6446970856918985</v>
      </c>
      <c r="O31" s="96">
        <v>0</v>
      </c>
      <c r="P31" s="96">
        <v>5.1305205510712243E-2</v>
      </c>
      <c r="Q31" s="95">
        <v>5</v>
      </c>
      <c r="S31" s="99">
        <v>48.05</v>
      </c>
      <c r="T31" s="99">
        <v>1.3</v>
      </c>
      <c r="U31" s="99">
        <v>6.71</v>
      </c>
      <c r="V31" s="99">
        <v>12.251000000000001</v>
      </c>
      <c r="W31" s="98">
        <v>0.28999999999999998</v>
      </c>
      <c r="X31" s="99">
        <v>15.13</v>
      </c>
      <c r="Y31" s="99">
        <v>11.16</v>
      </c>
      <c r="Z31" s="98">
        <v>1.33</v>
      </c>
      <c r="AA31" s="98">
        <v>0.15</v>
      </c>
      <c r="AB31" s="98"/>
      <c r="AD31" s="35">
        <f t="shared" si="1"/>
        <v>5.4471656279946608</v>
      </c>
      <c r="AE31" s="36"/>
      <c r="AF31" s="50">
        <f t="shared" si="2"/>
        <v>0.26987210379125676</v>
      </c>
      <c r="AG31" s="35">
        <f t="shared" si="3"/>
        <v>73.502618363842714</v>
      </c>
      <c r="AH31" s="35">
        <f t="shared" si="4"/>
        <v>1.6</v>
      </c>
      <c r="AI31" s="35">
        <f t="shared" si="5"/>
        <v>-0.42545649500303995</v>
      </c>
      <c r="AJ31" s="35">
        <f t="shared" si="6"/>
        <v>2.292288827062297</v>
      </c>
      <c r="AK31" s="36"/>
      <c r="AL31" s="37">
        <f t="shared" si="162"/>
        <v>793.17204982520741</v>
      </c>
      <c r="AM31" s="37">
        <f t="shared" si="8"/>
        <v>795.29057718123249</v>
      </c>
      <c r="AN31" s="37">
        <f t="shared" si="163"/>
        <v>799.64190288723944</v>
      </c>
      <c r="AO31" s="37">
        <f t="shared" si="164"/>
        <v>838.0574531518489</v>
      </c>
      <c r="AP31" s="37">
        <f t="shared" si="10"/>
        <v>832.01135691656577</v>
      </c>
      <c r="AQ31" s="37">
        <f t="shared" si="11"/>
        <v>813.69493602153068</v>
      </c>
      <c r="AR31" s="37">
        <f t="shared" si="12"/>
        <v>820.05625271531665</v>
      </c>
      <c r="AS31" s="37">
        <f t="shared" si="13"/>
        <v>822.83042901058616</v>
      </c>
      <c r="AT31"/>
      <c r="AU31" s="35">
        <f t="shared" si="154"/>
        <v>2.232530260207183</v>
      </c>
      <c r="AV31"/>
      <c r="AW31" s="37">
        <f t="shared" si="165"/>
        <v>879.08941334225415</v>
      </c>
      <c r="AX31" s="37">
        <f t="shared" si="166"/>
        <v>877.05368787869224</v>
      </c>
      <c r="AY31" s="38"/>
      <c r="AZ31" s="50">
        <f t="shared" si="16"/>
        <v>-1.2769901774635999</v>
      </c>
      <c r="BA31" s="38"/>
      <c r="BB31" s="35">
        <f t="shared" si="167"/>
        <v>0.79651296860889775</v>
      </c>
      <c r="BC31" s="35">
        <f t="shared" si="168"/>
        <v>1.1237909291139261</v>
      </c>
      <c r="BD31" s="35">
        <f t="shared" si="169"/>
        <v>0.17981724230950219</v>
      </c>
      <c r="BE31" s="35">
        <f t="shared" si="170"/>
        <v>-7.6470972530082522</v>
      </c>
      <c r="BF31" s="35">
        <f t="shared" si="171"/>
        <v>2.4383601247751012</v>
      </c>
      <c r="BG31" s="35">
        <f t="shared" si="172"/>
        <v>0.81909351312205725</v>
      </c>
      <c r="BH31" s="36"/>
      <c r="BI31" s="50">
        <f t="shared" si="173"/>
        <v>0.31235296608990915</v>
      </c>
      <c r="BJ31" s="50" t="str">
        <f t="shared" si="23"/>
        <v>YES</v>
      </c>
      <c r="BK31" s="35">
        <f t="shared" si="174"/>
        <v>1.9332567944068888</v>
      </c>
      <c r="BL31" s="35">
        <f t="shared" si="175"/>
        <v>1.7223491800034108</v>
      </c>
      <c r="BM31" s="35">
        <f t="shared" si="176"/>
        <v>1.4552198362454638</v>
      </c>
      <c r="BN31" s="35">
        <f t="shared" si="177"/>
        <v>1.8030950935297918</v>
      </c>
      <c r="BO31" s="35">
        <f t="shared" si="178"/>
        <v>1.4623213201473444</v>
      </c>
      <c r="BP31" s="35">
        <f t="shared" si="29"/>
        <v>0.3086810077853106</v>
      </c>
      <c r="BQ31" s="35">
        <f t="shared" si="179"/>
        <v>2.3232567944068889</v>
      </c>
      <c r="BR31" s="35">
        <f t="shared" si="180"/>
        <v>2.5290660718442926</v>
      </c>
      <c r="BS31" s="23"/>
      <c r="BT31" s="23">
        <f t="shared" si="32"/>
        <v>1.1815626358749536</v>
      </c>
      <c r="BU31" s="23">
        <f t="shared" si="33"/>
        <v>2.7774594087680102E-3</v>
      </c>
      <c r="BV31" s="23">
        <f t="shared" si="34"/>
        <v>0.12334249209953439</v>
      </c>
      <c r="BW31" s="23">
        <f t="shared" si="35"/>
        <v>0</v>
      </c>
      <c r="BX31" s="23">
        <f t="shared" si="36"/>
        <v>2.3429834221459903E-2</v>
      </c>
      <c r="BY31" s="23">
        <f t="shared" si="37"/>
        <v>9.4723131895873213E-4</v>
      </c>
      <c r="BZ31" s="23">
        <f t="shared" si="38"/>
        <v>1.392025368698953E-2</v>
      </c>
      <c r="CA31" s="23">
        <f t="shared" si="39"/>
        <v>4.3065726990549752E-2</v>
      </c>
      <c r="CB31" s="23">
        <f t="shared" si="40"/>
        <v>6.5616438334145821E-2</v>
      </c>
      <c r="CC31" s="23">
        <f t="shared" si="41"/>
        <v>1.7460370776804731E-2</v>
      </c>
      <c r="CD31" s="23">
        <f t="shared" si="42"/>
        <v>3.6146463227144606E-4</v>
      </c>
      <c r="CE31" s="23">
        <f t="shared" si="43"/>
        <v>0.27756374528974326</v>
      </c>
      <c r="CF31" s="22">
        <f t="shared" si="181"/>
        <v>1.7500476526341786</v>
      </c>
      <c r="CG31" s="22">
        <f t="shared" si="182"/>
        <v>1.6792646731871921</v>
      </c>
      <c r="CH31" s="22">
        <f t="shared" si="183"/>
        <v>1.4724839073444353</v>
      </c>
      <c r="CI31" s="23">
        <f t="shared" si="184"/>
        <v>0.67516026440563537</v>
      </c>
      <c r="CJ31" s="23">
        <f t="shared" si="185"/>
        <v>1.5870764459398391E-3</v>
      </c>
      <c r="CK31" s="23">
        <f t="shared" si="186"/>
        <v>7.0479504894554609E-2</v>
      </c>
      <c r="CL31" s="23">
        <f t="shared" si="187"/>
        <v>0</v>
      </c>
      <c r="CM31" s="23">
        <f t="shared" si="188"/>
        <v>1.3388112138657038E-2</v>
      </c>
      <c r="CN31" s="23">
        <f t="shared" si="189"/>
        <v>5.412603008454975E-4</v>
      </c>
      <c r="CO31" s="23">
        <f t="shared" si="190"/>
        <v>7.9542140844203347E-3</v>
      </c>
      <c r="CP31" s="23">
        <f t="shared" si="191"/>
        <v>2.4608316765390388E-2</v>
      </c>
      <c r="CQ31" s="23">
        <f t="shared" si="192"/>
        <v>3.7494086652657542E-2</v>
      </c>
      <c r="CR31" s="23">
        <f t="shared" si="193"/>
        <v>9.977083052866197E-3</v>
      </c>
      <c r="CS31" s="23">
        <f t="shared" si="194"/>
        <v>2.0654559418846E-4</v>
      </c>
      <c r="CT31" s="23">
        <f t="shared" si="195"/>
        <v>0.15860353566484503</v>
      </c>
      <c r="CU31" s="22">
        <f t="shared" si="196"/>
        <v>1</v>
      </c>
      <c r="CV31" s="22">
        <f t="shared" si="58"/>
        <v>0.84139646433515503</v>
      </c>
      <c r="CX31">
        <f t="shared" si="59"/>
        <v>0.70361906299879728</v>
      </c>
      <c r="CY31">
        <f t="shared" si="60"/>
        <v>1.6539735832687284E-3</v>
      </c>
      <c r="CZ31">
        <f t="shared" si="61"/>
        <v>0.14690059770677386</v>
      </c>
      <c r="DA31">
        <f t="shared" si="62"/>
        <v>0</v>
      </c>
      <c r="DB31">
        <f t="shared" si="63"/>
        <v>1.3952436799013229E-2</v>
      </c>
      <c r="DC31">
        <f t="shared" si="64"/>
        <v>5.6407505861533821E-4</v>
      </c>
      <c r="DD31">
        <f t="shared" si="65"/>
        <v>8.2894935558724767E-3</v>
      </c>
      <c r="DE31">
        <f t="shared" si="66"/>
        <v>2.5645586236749889E-2</v>
      </c>
      <c r="DF31">
        <f t="shared" si="67"/>
        <v>7.8149012936248888E-2</v>
      </c>
      <c r="DG31">
        <f t="shared" si="68"/>
        <v>2.0795257657228613E-2</v>
      </c>
      <c r="DH31">
        <f t="shared" si="69"/>
        <v>4.3050346743184615E-4</v>
      </c>
      <c r="DI31" s="22">
        <f t="shared" si="197"/>
        <v>1</v>
      </c>
      <c r="DJ31" s="22">
        <f t="shared" si="71"/>
        <v>0.79970974114702176</v>
      </c>
      <c r="DK31" s="22">
        <f t="shared" si="72"/>
        <v>1.6274656103997556E-2</v>
      </c>
      <c r="DL31" s="22">
        <f t="shared" si="73"/>
        <v>6.5809476172261946E-2</v>
      </c>
      <c r="DM31" s="22">
        <f t="shared" si="74"/>
        <v>0</v>
      </c>
      <c r="DN31" s="22">
        <f t="shared" si="75"/>
        <v>0.17051654641011937</v>
      </c>
      <c r="DO31" s="22">
        <f t="shared" si="76"/>
        <v>4.0881057268722463E-3</v>
      </c>
      <c r="DP31" s="22">
        <f t="shared" si="77"/>
        <v>0.3753932573118568</v>
      </c>
      <c r="DQ31" s="22">
        <f t="shared" si="78"/>
        <v>0.19901065313299121</v>
      </c>
      <c r="DR31" s="22">
        <f t="shared" si="79"/>
        <v>2.1458915856848056E-2</v>
      </c>
      <c r="DS31" s="22">
        <f t="shared" si="80"/>
        <v>1.5924243067646185E-3</v>
      </c>
      <c r="DT31" s="22">
        <f t="shared" si="198"/>
        <v>1.6538537761687337</v>
      </c>
      <c r="DU31" s="22">
        <f t="shared" si="82"/>
        <v>0.79970974114702176</v>
      </c>
      <c r="DV31" s="22">
        <f t="shared" si="83"/>
        <v>1.6274656103997556E-2</v>
      </c>
      <c r="DW31" s="22">
        <f t="shared" si="84"/>
        <v>0.13161895234452389</v>
      </c>
      <c r="DX31" s="22">
        <f t="shared" si="85"/>
        <v>0</v>
      </c>
      <c r="DZ31" s="22">
        <f t="shared" si="86"/>
        <v>0.17051654641011937</v>
      </c>
      <c r="EA31" s="22">
        <f t="shared" si="87"/>
        <v>4.0881057268722463E-3</v>
      </c>
      <c r="EB31" s="22">
        <f t="shared" si="88"/>
        <v>0.3753932573118568</v>
      </c>
      <c r="EC31" s="22">
        <f t="shared" si="89"/>
        <v>0.19901065313299121</v>
      </c>
      <c r="ED31" s="22">
        <f t="shared" si="90"/>
        <v>4.2917831713696113E-2</v>
      </c>
      <c r="EE31" s="22">
        <f t="shared" si="91"/>
        <v>3.1848486135292371E-3</v>
      </c>
      <c r="EG31" s="22">
        <f t="shared" si="199"/>
        <v>1.5994194822940435</v>
      </c>
      <c r="EH31" s="22">
        <f t="shared" si="200"/>
        <v>3.2549312207995111E-2</v>
      </c>
      <c r="EI31" s="22">
        <f t="shared" si="201"/>
        <v>0.19742842851678583</v>
      </c>
      <c r="EJ31" s="22">
        <f t="shared" si="202"/>
        <v>0</v>
      </c>
      <c r="EL31" s="22">
        <f t="shared" si="203"/>
        <v>0.17051654641011937</v>
      </c>
      <c r="EM31" s="22">
        <f t="shared" si="204"/>
        <v>4.0881057268722463E-3</v>
      </c>
      <c r="EN31" s="22">
        <f t="shared" si="205"/>
        <v>0.3753932573118568</v>
      </c>
      <c r="EO31" s="22">
        <f t="shared" si="206"/>
        <v>0.19901065313299121</v>
      </c>
      <c r="EP31" s="22">
        <f t="shared" si="207"/>
        <v>2.1458915856848056E-2</v>
      </c>
      <c r="EQ31" s="22">
        <f t="shared" si="208"/>
        <v>1.5924243067646185E-3</v>
      </c>
      <c r="ER31" s="22">
        <f t="shared" si="209"/>
        <v>2.6014571257642767</v>
      </c>
      <c r="ES31" s="22">
        <f t="shared" si="210"/>
        <v>8.8411989466260668</v>
      </c>
      <c r="EU31" s="86">
        <f t="shared" si="211"/>
        <v>7.0703929210356531</v>
      </c>
      <c r="EV31" s="86">
        <f t="shared" si="212"/>
        <v>0.14388747240336466</v>
      </c>
      <c r="EW31" s="86">
        <f t="shared" si="213"/>
        <v>1.1636693428244311</v>
      </c>
      <c r="EX31" s="86">
        <f t="shared" si="214"/>
        <v>0</v>
      </c>
      <c r="EY31" s="86"/>
      <c r="EZ31" s="86">
        <f t="shared" si="215"/>
        <v>1.5075707105034621</v>
      </c>
      <c r="FA31" s="86">
        <f t="shared" si="216"/>
        <v>3.6143756046118893E-2</v>
      </c>
      <c r="FB31" s="86">
        <f t="shared" si="217"/>
        <v>3.3189264711161162</v>
      </c>
      <c r="FC31" s="86">
        <f t="shared" si="218"/>
        <v>1.7594927768467674</v>
      </c>
      <c r="FD31" s="86">
        <f t="shared" si="219"/>
        <v>0.37944508853860487</v>
      </c>
      <c r="FE31" s="86">
        <f t="shared" si="220"/>
        <v>2.8157880207098179E-2</v>
      </c>
      <c r="FF31" s="22">
        <f t="shared" si="221"/>
        <v>15.000083450775914</v>
      </c>
      <c r="FG31" s="22">
        <f t="shared" si="222"/>
        <v>15.407686419521617</v>
      </c>
      <c r="FH31" s="22">
        <f t="shared" si="223"/>
        <v>13.240590673929146</v>
      </c>
      <c r="FI31" s="22" t="str">
        <f t="shared" si="224"/>
        <v>Good</v>
      </c>
      <c r="FJ31" s="22">
        <f t="shared" si="225"/>
        <v>393.10233656199057</v>
      </c>
      <c r="FK31" s="22">
        <f t="shared" si="158"/>
        <v>0.68764703391009097</v>
      </c>
      <c r="FL31" s="22">
        <f t="shared" si="226"/>
        <v>0.14863027191110739</v>
      </c>
      <c r="FM31" s="87"/>
      <c r="FN31" s="87">
        <f t="shared" si="120"/>
        <v>-14.744481284277843</v>
      </c>
      <c r="FO31" s="22">
        <f t="shared" si="121"/>
        <v>8.5026773714914114E-2</v>
      </c>
      <c r="FP31" s="88">
        <f t="shared" si="227"/>
        <v>0.10955385242220957</v>
      </c>
      <c r="FQ31" s="88">
        <f t="shared" si="228"/>
        <v>1.3980168580812526</v>
      </c>
      <c r="FR31" s="87">
        <f t="shared" si="229"/>
        <v>7.0703929210356531</v>
      </c>
      <c r="FS31" s="87">
        <f t="shared" si="230"/>
        <v>0.92960707896434691</v>
      </c>
      <c r="FT31" s="87">
        <f t="shared" si="231"/>
        <v>0</v>
      </c>
      <c r="FU31" s="86">
        <f t="shared" si="232"/>
        <v>8</v>
      </c>
      <c r="FV31" s="87">
        <f t="shared" si="233"/>
        <v>0.23406226386008422</v>
      </c>
      <c r="FW31" s="87">
        <f t="shared" si="234"/>
        <v>0</v>
      </c>
      <c r="FX31" s="87">
        <f t="shared" si="235"/>
        <v>0.10955385242220957</v>
      </c>
      <c r="FY31" s="87">
        <f t="shared" si="236"/>
        <v>0.14388747240336466</v>
      </c>
      <c r="FZ31" s="87">
        <f t="shared" si="237"/>
        <v>0.48750358868565846</v>
      </c>
      <c r="GA31" s="87">
        <f t="shared" si="238"/>
        <v>3.3189264711161162</v>
      </c>
      <c r="GB31" s="87">
        <f t="shared" si="239"/>
        <v>3.8064300598017748</v>
      </c>
      <c r="GC31" s="87">
        <f t="shared" si="240"/>
        <v>1.1935699401982252</v>
      </c>
      <c r="GD31" s="87">
        <f t="shared" si="241"/>
        <v>5</v>
      </c>
      <c r="GE31" s="87">
        <f t="shared" si="242"/>
        <v>0</v>
      </c>
      <c r="GF31" s="87">
        <f t="shared" si="243"/>
        <v>5</v>
      </c>
      <c r="GG31" s="86">
        <f t="shared" si="244"/>
        <v>0</v>
      </c>
      <c r="GH31" s="86">
        <f t="shared" si="245"/>
        <v>0.20444691788302749</v>
      </c>
      <c r="GI31" s="86">
        <f t="shared" si="246"/>
        <v>3.6143756046118893E-2</v>
      </c>
      <c r="GJ31" s="89">
        <f t="shared" si="247"/>
        <v>0.24059067392914638</v>
      </c>
      <c r="GK31" s="89">
        <f t="shared" si="248"/>
        <v>0.24059067392914638</v>
      </c>
      <c r="GL31" s="87">
        <f t="shared" si="249"/>
        <v>1.7594093260708537</v>
      </c>
      <c r="GM31" s="87">
        <f t="shared" si="250"/>
        <v>0</v>
      </c>
      <c r="GN31" s="89">
        <f t="shared" si="251"/>
        <v>2</v>
      </c>
      <c r="GO31" s="87"/>
      <c r="GP31" s="86" t="str">
        <f t="shared" si="252"/>
        <v>CALCIC</v>
      </c>
      <c r="GQ31" s="87"/>
      <c r="GR31" s="87">
        <f t="shared" si="253"/>
        <v>0.37944508853860487</v>
      </c>
      <c r="GS31" s="87">
        <f t="shared" si="254"/>
        <v>2.8157880207098179E-2</v>
      </c>
      <c r="GT31" s="87">
        <f t="shared" si="255"/>
        <v>0.40760296874570306</v>
      </c>
      <c r="GU31" s="86">
        <f t="shared" si="256"/>
        <v>0</v>
      </c>
      <c r="GV31" s="86">
        <f t="shared" si="257"/>
        <v>0.37944508853860487</v>
      </c>
    </row>
    <row r="32" spans="1:204" s="22" customFormat="1" ht="18" customHeight="1" x14ac:dyDescent="0.35">
      <c r="A32" s="97" t="s">
        <v>165</v>
      </c>
      <c r="B32" s="97" t="s">
        <v>166</v>
      </c>
      <c r="C32" s="36">
        <f t="shared" si="0"/>
        <v>814.34436971369098</v>
      </c>
      <c r="D32" s="36">
        <f t="shared" si="161"/>
        <v>-0.42545649500303995</v>
      </c>
      <c r="F32" s="96">
        <v>70.993363882701473</v>
      </c>
      <c r="G32" s="96">
        <v>0.22186012462109814</v>
      </c>
      <c r="H32" s="96">
        <v>12.576123836960626</v>
      </c>
      <c r="I32" s="96">
        <v>1.6833492414086968</v>
      </c>
      <c r="J32" s="96">
        <v>6.7194221688635064E-2</v>
      </c>
      <c r="K32" s="96">
        <v>0.56104747270190081</v>
      </c>
      <c r="L32" s="96">
        <v>2.4150139987398545</v>
      </c>
      <c r="M32" s="96">
        <v>4.0668346698681903</v>
      </c>
      <c r="N32" s="96">
        <v>1.6446970856918985</v>
      </c>
      <c r="O32" s="96">
        <v>0</v>
      </c>
      <c r="P32" s="96">
        <v>5.1305205510712243E-2</v>
      </c>
      <c r="Q32" s="95">
        <v>5</v>
      </c>
      <c r="S32" s="99">
        <v>48.05</v>
      </c>
      <c r="T32" s="99">
        <v>1.3</v>
      </c>
      <c r="U32" s="99">
        <v>6.71</v>
      </c>
      <c r="V32" s="99">
        <v>12.251000000000001</v>
      </c>
      <c r="W32" s="99">
        <v>0.28999999999999998</v>
      </c>
      <c r="X32" s="99">
        <v>15.13</v>
      </c>
      <c r="Y32" s="99">
        <v>11.16</v>
      </c>
      <c r="Z32" s="98">
        <v>1.33</v>
      </c>
      <c r="AA32" s="98">
        <v>0.15</v>
      </c>
      <c r="AB32" s="98"/>
      <c r="AD32" s="35">
        <f t="shared" si="1"/>
        <v>5.4471656279946608</v>
      </c>
      <c r="AE32" s="36"/>
      <c r="AF32" s="50">
        <f t="shared" si="2"/>
        <v>0.26987210379125676</v>
      </c>
      <c r="AG32" s="35">
        <f t="shared" si="3"/>
        <v>73.502618363842714</v>
      </c>
      <c r="AH32" s="35">
        <f t="shared" si="4"/>
        <v>1.6</v>
      </c>
      <c r="AI32" s="35">
        <f t="shared" si="5"/>
        <v>-0.42545649500303995</v>
      </c>
      <c r="AJ32" s="35">
        <f t="shared" si="6"/>
        <v>2.292288827062297</v>
      </c>
      <c r="AK32" s="36"/>
      <c r="AL32" s="37">
        <f t="shared" si="162"/>
        <v>793.17204982520741</v>
      </c>
      <c r="AM32" s="37">
        <f t="shared" si="8"/>
        <v>795.29057718123249</v>
      </c>
      <c r="AN32" s="37">
        <f t="shared" si="163"/>
        <v>799.64190288723944</v>
      </c>
      <c r="AO32" s="37">
        <f t="shared" si="164"/>
        <v>838.0574531518489</v>
      </c>
      <c r="AP32" s="37">
        <f t="shared" si="10"/>
        <v>832.01135691656577</v>
      </c>
      <c r="AQ32" s="37">
        <f t="shared" si="11"/>
        <v>813.69493602153068</v>
      </c>
      <c r="AR32" s="37">
        <f t="shared" si="12"/>
        <v>820.05625271531665</v>
      </c>
      <c r="AS32" s="37">
        <f t="shared" si="13"/>
        <v>822.83042901058616</v>
      </c>
      <c r="AT32"/>
      <c r="AU32" s="35">
        <f t="shared" si="154"/>
        <v>2.232530260207183</v>
      </c>
      <c r="AV32"/>
      <c r="AW32" s="37">
        <f t="shared" si="165"/>
        <v>879.08941334225415</v>
      </c>
      <c r="AX32" s="37">
        <f t="shared" si="166"/>
        <v>877.05368787869224</v>
      </c>
      <c r="AY32" s="38"/>
      <c r="AZ32" s="50">
        <f t="shared" si="16"/>
        <v>-1.2769901774635999</v>
      </c>
      <c r="BA32" s="38"/>
      <c r="BB32" s="35">
        <f t="shared" si="167"/>
        <v>0.79651296860889775</v>
      </c>
      <c r="BC32" s="35">
        <f t="shared" si="168"/>
        <v>1.1237909291139261</v>
      </c>
      <c r="BD32" s="35">
        <f t="shared" si="169"/>
        <v>0.17981724230950219</v>
      </c>
      <c r="BE32" s="35">
        <f t="shared" si="170"/>
        <v>-7.6470972530082522</v>
      </c>
      <c r="BF32" s="35">
        <f t="shared" si="171"/>
        <v>2.4383601247751012</v>
      </c>
      <c r="BG32" s="35">
        <f t="shared" si="172"/>
        <v>0.81909351312205725</v>
      </c>
      <c r="BH32" s="36"/>
      <c r="BI32" s="50">
        <f t="shared" si="173"/>
        <v>0.31235296608990915</v>
      </c>
      <c r="BJ32" s="50" t="str">
        <f t="shared" si="23"/>
        <v>YES</v>
      </c>
      <c r="BK32" s="35">
        <f t="shared" si="174"/>
        <v>1.9332567944068888</v>
      </c>
      <c r="BL32" s="35">
        <f t="shared" si="175"/>
        <v>1.7223491800034108</v>
      </c>
      <c r="BM32" s="35">
        <f t="shared" si="176"/>
        <v>1.4552198362454638</v>
      </c>
      <c r="BN32" s="35">
        <f t="shared" si="177"/>
        <v>1.8030950935297918</v>
      </c>
      <c r="BO32" s="35">
        <f t="shared" si="178"/>
        <v>1.4623213201473444</v>
      </c>
      <c r="BP32" s="35">
        <f t="shared" si="29"/>
        <v>0.3086810077853106</v>
      </c>
      <c r="BQ32" s="35">
        <f t="shared" si="179"/>
        <v>2.3232567944068889</v>
      </c>
      <c r="BR32" s="35">
        <f t="shared" si="180"/>
        <v>2.5290660718442926</v>
      </c>
      <c r="BS32" s="23"/>
      <c r="BT32" s="23">
        <f t="shared" si="32"/>
        <v>1.1815626358749536</v>
      </c>
      <c r="BU32" s="23">
        <f t="shared" si="33"/>
        <v>2.7774594087680102E-3</v>
      </c>
      <c r="BV32" s="23">
        <f t="shared" si="34"/>
        <v>0.12334249209953439</v>
      </c>
      <c r="BW32" s="23">
        <f t="shared" si="35"/>
        <v>0</v>
      </c>
      <c r="BX32" s="23">
        <f t="shared" si="36"/>
        <v>2.3429834221459903E-2</v>
      </c>
      <c r="BY32" s="23">
        <f t="shared" si="37"/>
        <v>9.4723131895873213E-4</v>
      </c>
      <c r="BZ32" s="23">
        <f t="shared" si="38"/>
        <v>1.392025368698953E-2</v>
      </c>
      <c r="CA32" s="23">
        <f t="shared" si="39"/>
        <v>4.3065726990549752E-2</v>
      </c>
      <c r="CB32" s="23">
        <f t="shared" si="40"/>
        <v>6.5616438334145821E-2</v>
      </c>
      <c r="CC32" s="23">
        <f t="shared" si="41"/>
        <v>1.7460370776804731E-2</v>
      </c>
      <c r="CD32" s="23">
        <f t="shared" si="42"/>
        <v>3.6146463227144606E-4</v>
      </c>
      <c r="CE32" s="23">
        <f t="shared" si="43"/>
        <v>0.27756374528974326</v>
      </c>
      <c r="CF32" s="22">
        <f t="shared" si="181"/>
        <v>1.7500476526341786</v>
      </c>
      <c r="CG32" s="22">
        <f t="shared" si="182"/>
        <v>1.6792646731871921</v>
      </c>
      <c r="CH32" s="22">
        <f t="shared" si="183"/>
        <v>1.4724839073444353</v>
      </c>
      <c r="CI32" s="23">
        <f t="shared" si="184"/>
        <v>0.67516026440563537</v>
      </c>
      <c r="CJ32" s="23">
        <f t="shared" si="185"/>
        <v>1.5870764459398391E-3</v>
      </c>
      <c r="CK32" s="23">
        <f t="shared" si="186"/>
        <v>7.0479504894554609E-2</v>
      </c>
      <c r="CL32" s="23">
        <f t="shared" si="187"/>
        <v>0</v>
      </c>
      <c r="CM32" s="23">
        <f t="shared" si="188"/>
        <v>1.3388112138657038E-2</v>
      </c>
      <c r="CN32" s="23">
        <f t="shared" si="189"/>
        <v>5.412603008454975E-4</v>
      </c>
      <c r="CO32" s="23">
        <f t="shared" si="190"/>
        <v>7.9542140844203347E-3</v>
      </c>
      <c r="CP32" s="23">
        <f t="shared" si="191"/>
        <v>2.4608316765390388E-2</v>
      </c>
      <c r="CQ32" s="23">
        <f t="shared" si="192"/>
        <v>3.7494086652657542E-2</v>
      </c>
      <c r="CR32" s="23">
        <f t="shared" si="193"/>
        <v>9.977083052866197E-3</v>
      </c>
      <c r="CS32" s="23">
        <f t="shared" si="194"/>
        <v>2.0654559418846E-4</v>
      </c>
      <c r="CT32" s="23">
        <f t="shared" si="195"/>
        <v>0.15860353566484503</v>
      </c>
      <c r="CU32" s="22">
        <f t="shared" si="196"/>
        <v>1</v>
      </c>
      <c r="CV32" s="22">
        <f t="shared" si="58"/>
        <v>0.84139646433515503</v>
      </c>
      <c r="CX32">
        <f t="shared" si="59"/>
        <v>0.70361906299879728</v>
      </c>
      <c r="CY32">
        <f t="shared" si="60"/>
        <v>1.6539735832687284E-3</v>
      </c>
      <c r="CZ32">
        <f t="shared" si="61"/>
        <v>0.14690059770677386</v>
      </c>
      <c r="DA32">
        <f t="shared" si="62"/>
        <v>0</v>
      </c>
      <c r="DB32">
        <f t="shared" si="63"/>
        <v>1.3952436799013229E-2</v>
      </c>
      <c r="DC32">
        <f t="shared" si="64"/>
        <v>5.6407505861533821E-4</v>
      </c>
      <c r="DD32">
        <f t="shared" si="65"/>
        <v>8.2894935558724767E-3</v>
      </c>
      <c r="DE32">
        <f t="shared" si="66"/>
        <v>2.5645586236749889E-2</v>
      </c>
      <c r="DF32">
        <f t="shared" si="67"/>
        <v>7.8149012936248888E-2</v>
      </c>
      <c r="DG32">
        <f t="shared" si="68"/>
        <v>2.0795257657228613E-2</v>
      </c>
      <c r="DH32">
        <f t="shared" si="69"/>
        <v>4.3050346743184615E-4</v>
      </c>
      <c r="DI32" s="22">
        <f t="shared" si="197"/>
        <v>1</v>
      </c>
      <c r="DJ32" s="22">
        <f t="shared" si="71"/>
        <v>0.79970974114702176</v>
      </c>
      <c r="DK32" s="22">
        <f t="shared" si="72"/>
        <v>1.6274656103997556E-2</v>
      </c>
      <c r="DL32" s="22">
        <f t="shared" si="73"/>
        <v>6.5809476172261946E-2</v>
      </c>
      <c r="DM32" s="22">
        <f t="shared" si="74"/>
        <v>0</v>
      </c>
      <c r="DN32" s="22">
        <f t="shared" si="75"/>
        <v>0.17051654641011937</v>
      </c>
      <c r="DO32" s="22">
        <f t="shared" si="76"/>
        <v>4.0881057268722463E-3</v>
      </c>
      <c r="DP32" s="22">
        <f t="shared" si="77"/>
        <v>0.3753932573118568</v>
      </c>
      <c r="DQ32" s="22">
        <f t="shared" si="78"/>
        <v>0.19901065313299121</v>
      </c>
      <c r="DR32" s="22">
        <f t="shared" si="79"/>
        <v>2.1458915856848056E-2</v>
      </c>
      <c r="DS32" s="22">
        <f t="shared" si="80"/>
        <v>1.5924243067646185E-3</v>
      </c>
      <c r="DT32" s="22">
        <f t="shared" si="198"/>
        <v>1.6538537761687337</v>
      </c>
      <c r="DU32" s="22">
        <f t="shared" si="82"/>
        <v>0.79970974114702176</v>
      </c>
      <c r="DV32" s="22">
        <f t="shared" si="83"/>
        <v>1.6274656103997556E-2</v>
      </c>
      <c r="DW32" s="22">
        <f t="shared" si="84"/>
        <v>0.13161895234452389</v>
      </c>
      <c r="DX32" s="22">
        <f t="shared" si="85"/>
        <v>0</v>
      </c>
      <c r="DZ32" s="22">
        <f t="shared" si="86"/>
        <v>0.17051654641011937</v>
      </c>
      <c r="EA32" s="22">
        <f t="shared" si="87"/>
        <v>4.0881057268722463E-3</v>
      </c>
      <c r="EB32" s="22">
        <f t="shared" si="88"/>
        <v>0.3753932573118568</v>
      </c>
      <c r="EC32" s="22">
        <f t="shared" si="89"/>
        <v>0.19901065313299121</v>
      </c>
      <c r="ED32" s="22">
        <f t="shared" si="90"/>
        <v>4.2917831713696113E-2</v>
      </c>
      <c r="EE32" s="22">
        <f t="shared" si="91"/>
        <v>3.1848486135292371E-3</v>
      </c>
      <c r="EG32" s="22">
        <f t="shared" si="199"/>
        <v>1.5994194822940435</v>
      </c>
      <c r="EH32" s="22">
        <f t="shared" si="200"/>
        <v>3.2549312207995111E-2</v>
      </c>
      <c r="EI32" s="22">
        <f t="shared" si="201"/>
        <v>0.19742842851678583</v>
      </c>
      <c r="EJ32" s="22">
        <f t="shared" si="202"/>
        <v>0</v>
      </c>
      <c r="EL32" s="22">
        <f t="shared" si="203"/>
        <v>0.17051654641011937</v>
      </c>
      <c r="EM32" s="22">
        <f t="shared" si="204"/>
        <v>4.0881057268722463E-3</v>
      </c>
      <c r="EN32" s="22">
        <f t="shared" si="205"/>
        <v>0.3753932573118568</v>
      </c>
      <c r="EO32" s="22">
        <f t="shared" si="206"/>
        <v>0.19901065313299121</v>
      </c>
      <c r="EP32" s="22">
        <f t="shared" si="207"/>
        <v>2.1458915856848056E-2</v>
      </c>
      <c r="EQ32" s="22">
        <f t="shared" si="208"/>
        <v>1.5924243067646185E-3</v>
      </c>
      <c r="ER32" s="22">
        <f t="shared" si="209"/>
        <v>2.6014571257642767</v>
      </c>
      <c r="ES32" s="22">
        <f t="shared" si="210"/>
        <v>8.8411989466260668</v>
      </c>
      <c r="EU32" s="86">
        <f t="shared" si="211"/>
        <v>7.0703929210356531</v>
      </c>
      <c r="EV32" s="86">
        <f t="shared" si="212"/>
        <v>0.14388747240336466</v>
      </c>
      <c r="EW32" s="86">
        <f t="shared" si="213"/>
        <v>1.1636693428244311</v>
      </c>
      <c r="EX32" s="86">
        <f t="shared" si="214"/>
        <v>0</v>
      </c>
      <c r="EY32" s="86"/>
      <c r="EZ32" s="86">
        <f t="shared" si="215"/>
        <v>1.5075707105034621</v>
      </c>
      <c r="FA32" s="86">
        <f t="shared" si="216"/>
        <v>3.6143756046118893E-2</v>
      </c>
      <c r="FB32" s="86">
        <f t="shared" si="217"/>
        <v>3.3189264711161162</v>
      </c>
      <c r="FC32" s="86">
        <f t="shared" si="218"/>
        <v>1.7594927768467674</v>
      </c>
      <c r="FD32" s="86">
        <f t="shared" si="219"/>
        <v>0.37944508853860487</v>
      </c>
      <c r="FE32" s="86">
        <f t="shared" si="220"/>
        <v>2.8157880207098179E-2</v>
      </c>
      <c r="FF32" s="22">
        <f t="shared" si="221"/>
        <v>15.000083450775914</v>
      </c>
      <c r="FG32" s="22">
        <f t="shared" si="222"/>
        <v>15.407686419521617</v>
      </c>
      <c r="FH32" s="22">
        <f t="shared" si="223"/>
        <v>13.240590673929146</v>
      </c>
      <c r="FI32" s="22" t="str">
        <f t="shared" si="224"/>
        <v>Good</v>
      </c>
      <c r="FJ32" s="22">
        <f t="shared" si="225"/>
        <v>393.10233656199057</v>
      </c>
      <c r="FK32" s="22">
        <f t="shared" si="158"/>
        <v>0.68764703391009097</v>
      </c>
      <c r="FL32" s="22">
        <f t="shared" si="226"/>
        <v>0.14863027191110739</v>
      </c>
      <c r="FM32" s="87"/>
      <c r="FN32" s="87">
        <f t="shared" si="120"/>
        <v>-14.744481284277843</v>
      </c>
      <c r="FO32" s="22">
        <f t="shared" si="121"/>
        <v>8.5026773714914114E-2</v>
      </c>
      <c r="FP32" s="88">
        <f t="shared" si="227"/>
        <v>0.10955385242220957</v>
      </c>
      <c r="FQ32" s="88">
        <f t="shared" si="228"/>
        <v>1.3980168580812526</v>
      </c>
      <c r="FR32" s="87">
        <f t="shared" si="229"/>
        <v>7.0703929210356531</v>
      </c>
      <c r="FS32" s="87">
        <f t="shared" si="230"/>
        <v>0.92960707896434691</v>
      </c>
      <c r="FT32" s="87">
        <f t="shared" si="231"/>
        <v>0</v>
      </c>
      <c r="FU32" s="86">
        <f t="shared" si="232"/>
        <v>8</v>
      </c>
      <c r="FV32" s="87">
        <f t="shared" si="233"/>
        <v>0.23406226386008422</v>
      </c>
      <c r="FW32" s="87">
        <f t="shared" si="234"/>
        <v>0</v>
      </c>
      <c r="FX32" s="87">
        <f t="shared" si="235"/>
        <v>0.10955385242220957</v>
      </c>
      <c r="FY32" s="87">
        <f t="shared" si="236"/>
        <v>0.14388747240336466</v>
      </c>
      <c r="FZ32" s="87">
        <f t="shared" si="237"/>
        <v>0.48750358868565846</v>
      </c>
      <c r="GA32" s="87">
        <f t="shared" si="238"/>
        <v>3.3189264711161162</v>
      </c>
      <c r="GB32" s="87">
        <f t="shared" si="239"/>
        <v>3.8064300598017748</v>
      </c>
      <c r="GC32" s="87">
        <f t="shared" si="240"/>
        <v>1.1935699401982252</v>
      </c>
      <c r="GD32" s="87">
        <f t="shared" si="241"/>
        <v>5</v>
      </c>
      <c r="GE32" s="87">
        <f t="shared" si="242"/>
        <v>0</v>
      </c>
      <c r="GF32" s="87">
        <f t="shared" si="243"/>
        <v>5</v>
      </c>
      <c r="GG32" s="86">
        <f t="shared" si="244"/>
        <v>0</v>
      </c>
      <c r="GH32" s="86">
        <f t="shared" si="245"/>
        <v>0.20444691788302749</v>
      </c>
      <c r="GI32" s="86">
        <f t="shared" si="246"/>
        <v>3.6143756046118893E-2</v>
      </c>
      <c r="GJ32" s="89">
        <f t="shared" si="247"/>
        <v>0.24059067392914638</v>
      </c>
      <c r="GK32" s="89">
        <f t="shared" si="248"/>
        <v>0.24059067392914638</v>
      </c>
      <c r="GL32" s="87">
        <f t="shared" si="249"/>
        <v>1.7594093260708537</v>
      </c>
      <c r="GM32" s="87">
        <f t="shared" si="250"/>
        <v>0</v>
      </c>
      <c r="GN32" s="89">
        <f t="shared" si="251"/>
        <v>2</v>
      </c>
      <c r="GO32" s="87"/>
      <c r="GP32" s="86" t="str">
        <f t="shared" si="252"/>
        <v>CALCIC</v>
      </c>
      <c r="GQ32" s="87"/>
      <c r="GR32" s="87">
        <f t="shared" si="253"/>
        <v>0.37944508853860487</v>
      </c>
      <c r="GS32" s="87">
        <f t="shared" si="254"/>
        <v>2.8157880207098179E-2</v>
      </c>
      <c r="GT32" s="87">
        <f t="shared" si="255"/>
        <v>0.40760296874570306</v>
      </c>
      <c r="GU32" s="86">
        <f t="shared" si="256"/>
        <v>0</v>
      </c>
      <c r="GV32" s="86">
        <f t="shared" si="257"/>
        <v>0.37944508853860487</v>
      </c>
    </row>
    <row r="33" spans="1:204" s="22" customFormat="1" ht="18" customHeight="1" x14ac:dyDescent="0.35">
      <c r="A33" s="97" t="s">
        <v>165</v>
      </c>
      <c r="B33" s="97" t="s">
        <v>166</v>
      </c>
      <c r="C33" s="36">
        <f t="shared" si="0"/>
        <v>816.86607836969324</v>
      </c>
      <c r="D33" s="36">
        <f t="shared" si="161"/>
        <v>-0.14795463503848083</v>
      </c>
      <c r="F33" s="96">
        <v>71.29535056657663</v>
      </c>
      <c r="G33" s="96">
        <v>0.21210847128762958</v>
      </c>
      <c r="H33" s="96">
        <v>12.427332481259638</v>
      </c>
      <c r="I33" s="96">
        <v>1.5660148319447045</v>
      </c>
      <c r="J33" s="96">
        <v>6.4992235452045383E-2</v>
      </c>
      <c r="K33" s="96">
        <v>0.48114682925993268</v>
      </c>
      <c r="L33" s="96">
        <v>2.2788054215336646</v>
      </c>
      <c r="M33" s="96">
        <v>4.0800465872877281</v>
      </c>
      <c r="N33" s="96">
        <v>1.6708063510686046</v>
      </c>
      <c r="O33" s="96">
        <v>0</v>
      </c>
      <c r="P33" s="96">
        <v>4.7844941424642753E-2</v>
      </c>
      <c r="Q33" s="95">
        <v>5</v>
      </c>
      <c r="S33" s="99">
        <v>47.86</v>
      </c>
      <c r="T33" s="99">
        <v>1.53</v>
      </c>
      <c r="U33" s="99">
        <v>7.3</v>
      </c>
      <c r="V33" s="99">
        <v>12.987</v>
      </c>
      <c r="W33" s="98">
        <v>0.32</v>
      </c>
      <c r="X33" s="99">
        <v>14.78</v>
      </c>
      <c r="Y33" s="99">
        <v>10.75</v>
      </c>
      <c r="Z33" s="98">
        <v>1.42</v>
      </c>
      <c r="AA33" s="98">
        <v>0.17</v>
      </c>
      <c r="AB33" s="98"/>
      <c r="AD33" s="35">
        <f t="shared" si="1"/>
        <v>3.6330910119113762</v>
      </c>
      <c r="AE33" s="36"/>
      <c r="AF33" s="50">
        <f t="shared" si="2"/>
        <v>0.26997040846537423</v>
      </c>
      <c r="AG33" s="35">
        <f t="shared" si="3"/>
        <v>72.919361954638845</v>
      </c>
      <c r="AH33" s="35">
        <f t="shared" si="4"/>
        <v>0.8</v>
      </c>
      <c r="AI33" s="35">
        <f t="shared" si="5"/>
        <v>-0.14795463503848083</v>
      </c>
      <c r="AJ33" s="35">
        <f t="shared" si="6"/>
        <v>1.5962264991794193</v>
      </c>
      <c r="AK33" s="36"/>
      <c r="AL33" s="37">
        <f t="shared" si="162"/>
        <v>801.11990902365005</v>
      </c>
      <c r="AM33" s="37">
        <f t="shared" si="8"/>
        <v>800.39097717232289</v>
      </c>
      <c r="AN33" s="37">
        <f t="shared" si="163"/>
        <v>810.93887087752978</v>
      </c>
      <c r="AO33" s="37">
        <f t="shared" si="164"/>
        <v>829.87327971459297</v>
      </c>
      <c r="AP33" s="37">
        <f t="shared" si="10"/>
        <v>829.64958953810765</v>
      </c>
      <c r="AQ33" s="37">
        <f t="shared" si="11"/>
        <v>810.60994989678227</v>
      </c>
      <c r="AR33" s="37">
        <f t="shared" si="12"/>
        <v>823.29419614609469</v>
      </c>
      <c r="AS33" s="37">
        <f t="shared" si="13"/>
        <v>829.05185458846552</v>
      </c>
      <c r="AT33"/>
      <c r="AU33" s="35">
        <f t="shared" si="154"/>
        <v>2.4956759327930187</v>
      </c>
      <c r="AV33"/>
      <c r="AW33" s="37">
        <f t="shared" si="165"/>
        <v>875.36611488926565</v>
      </c>
      <c r="AX33" s="37">
        <f t="shared" si="166"/>
        <v>865.07434944561498</v>
      </c>
      <c r="AY33" s="38"/>
      <c r="AZ33" s="50">
        <f t="shared" si="16"/>
        <v>-1.2298116615890999</v>
      </c>
      <c r="BA33" s="38"/>
      <c r="BB33" s="35">
        <f t="shared" si="167"/>
        <v>1.0547355622005705</v>
      </c>
      <c r="BC33" s="35">
        <f t="shared" si="168"/>
        <v>1.3137468490066746</v>
      </c>
      <c r="BD33" s="35">
        <f t="shared" si="169"/>
        <v>0.68476892351280394</v>
      </c>
      <c r="BE33" s="35">
        <f t="shared" si="170"/>
        <v>-6.2431319931256164</v>
      </c>
      <c r="BF33" s="35">
        <f t="shared" si="171"/>
        <v>2.4662287169441282</v>
      </c>
      <c r="BG33" s="35">
        <f t="shared" si="172"/>
        <v>0.9253668802488576</v>
      </c>
      <c r="BH33" s="36"/>
      <c r="BI33" s="50">
        <f t="shared" si="173"/>
        <v>0.33017450154317279</v>
      </c>
      <c r="BJ33" s="50" t="str">
        <f t="shared" si="23"/>
        <v>NO</v>
      </c>
      <c r="BK33" s="35">
        <f t="shared" si="174"/>
        <v>2.4159459984503737</v>
      </c>
      <c r="BL33" s="35">
        <f t="shared" si="175"/>
        <v>2.0197290863066844</v>
      </c>
      <c r="BM33" s="35">
        <f t="shared" si="176"/>
        <v>1.6772924235263271</v>
      </c>
      <c r="BN33" s="35">
        <f t="shared" si="177"/>
        <v>2.3443211592962436</v>
      </c>
      <c r="BO33" s="35">
        <f t="shared" si="178"/>
        <v>1.8682408694721833</v>
      </c>
      <c r="BP33" s="35">
        <f t="shared" si="29"/>
        <v>0.61811123955910174</v>
      </c>
      <c r="BQ33" s="35">
        <f t="shared" si="179"/>
        <v>2.8059459984503738</v>
      </c>
      <c r="BR33" s="35">
        <f t="shared" si="180"/>
        <v>2.9858455174202341</v>
      </c>
      <c r="BS33" s="23"/>
      <c r="BT33" s="23">
        <f t="shared" si="32"/>
        <v>1.1865886856729067</v>
      </c>
      <c r="BU33" s="23">
        <f t="shared" si="33"/>
        <v>2.6553787899621624E-3</v>
      </c>
      <c r="BV33" s="23">
        <f t="shared" si="34"/>
        <v>0.12188319535174859</v>
      </c>
      <c r="BW33" s="23">
        <f t="shared" si="35"/>
        <v>0</v>
      </c>
      <c r="BX33" s="23">
        <f t="shared" si="36"/>
        <v>2.179670563792625E-2</v>
      </c>
      <c r="BY33" s="23">
        <f t="shared" si="37"/>
        <v>9.161901032887455E-4</v>
      </c>
      <c r="BZ33" s="23">
        <f t="shared" si="38"/>
        <v>1.1937823891682612E-2</v>
      </c>
      <c r="CA33" s="23">
        <f t="shared" si="39"/>
        <v>4.0636788109535478E-2</v>
      </c>
      <c r="CB33" s="23">
        <f t="shared" si="40"/>
        <v>6.582960632227626E-2</v>
      </c>
      <c r="CC33" s="23">
        <f t="shared" si="41"/>
        <v>1.7737550968922298E-2</v>
      </c>
      <c r="CD33" s="23">
        <f t="shared" si="42"/>
        <v>3.3708575934846268E-4</v>
      </c>
      <c r="CE33" s="23">
        <f t="shared" si="43"/>
        <v>0.27756374528974326</v>
      </c>
      <c r="CF33" s="22">
        <f t="shared" si="181"/>
        <v>1.7478827558973409</v>
      </c>
      <c r="CG33" s="22">
        <f t="shared" si="182"/>
        <v>1.6761064490098931</v>
      </c>
      <c r="CH33" s="22">
        <f t="shared" si="183"/>
        <v>1.4703190106075976</v>
      </c>
      <c r="CI33" s="23">
        <f t="shared" si="184"/>
        <v>0.67887201339412895</v>
      </c>
      <c r="CJ33" s="23">
        <f t="shared" si="185"/>
        <v>1.5191973151533981E-3</v>
      </c>
      <c r="CK33" s="23">
        <f t="shared" si="186"/>
        <v>6.9731905610096429E-2</v>
      </c>
      <c r="CL33" s="23">
        <f t="shared" si="187"/>
        <v>0</v>
      </c>
      <c r="CM33" s="23">
        <f t="shared" si="188"/>
        <v>1.2470347661697764E-2</v>
      </c>
      <c r="CN33" s="23">
        <f t="shared" si="189"/>
        <v>5.2417137259208504E-4</v>
      </c>
      <c r="CO33" s="23">
        <f t="shared" si="190"/>
        <v>6.829876804610893E-3</v>
      </c>
      <c r="CP33" s="23">
        <f t="shared" si="191"/>
        <v>2.3249149848539506E-2</v>
      </c>
      <c r="CQ33" s="23">
        <f t="shared" si="192"/>
        <v>3.7662483996805711E-2</v>
      </c>
      <c r="CR33" s="23">
        <f t="shared" si="193"/>
        <v>1.0148021032346683E-2</v>
      </c>
      <c r="CS33" s="23">
        <f t="shared" si="194"/>
        <v>1.9285375876107154E-4</v>
      </c>
      <c r="CT33" s="23">
        <f t="shared" si="195"/>
        <v>0.15879997920526742</v>
      </c>
      <c r="CU33" s="22">
        <f t="shared" si="196"/>
        <v>1</v>
      </c>
      <c r="CV33" s="22">
        <f t="shared" si="58"/>
        <v>0.84120002079473255</v>
      </c>
      <c r="CX33">
        <f t="shared" si="59"/>
        <v>0.70794351180609461</v>
      </c>
      <c r="CY33">
        <f t="shared" si="60"/>
        <v>1.5842542647161483E-3</v>
      </c>
      <c r="CZ33">
        <f t="shared" si="61"/>
        <v>0.14543610332595192</v>
      </c>
      <c r="DA33">
        <f t="shared" si="62"/>
        <v>0</v>
      </c>
      <c r="DB33">
        <f t="shared" si="63"/>
        <v>1.3004368338778223E-2</v>
      </c>
      <c r="DC33">
        <f t="shared" si="64"/>
        <v>5.4661808850503253E-4</v>
      </c>
      <c r="DD33">
        <f t="shared" si="65"/>
        <v>7.1223542506709545E-3</v>
      </c>
      <c r="DE33">
        <f t="shared" si="66"/>
        <v>2.4244753746720787E-2</v>
      </c>
      <c r="DF33">
        <f t="shared" si="67"/>
        <v>7.8550627093121703E-2</v>
      </c>
      <c r="DG33">
        <f t="shared" si="68"/>
        <v>2.1165184322750139E-2</v>
      </c>
      <c r="DH33">
        <f t="shared" si="69"/>
        <v>4.0222476269044299E-4</v>
      </c>
      <c r="DI33" s="22">
        <f t="shared" si="197"/>
        <v>1</v>
      </c>
      <c r="DJ33" s="22">
        <f t="shared" si="71"/>
        <v>0.79654751740471308</v>
      </c>
      <c r="DK33" s="22">
        <f t="shared" si="72"/>
        <v>1.9154018337781738E-2</v>
      </c>
      <c r="DL33" s="22">
        <f t="shared" si="73"/>
        <v>7.1596002393071859E-2</v>
      </c>
      <c r="DM33" s="22">
        <f t="shared" si="74"/>
        <v>0</v>
      </c>
      <c r="DN33" s="22">
        <f t="shared" si="75"/>
        <v>0.18076062266167825</v>
      </c>
      <c r="DO33" s="22">
        <f t="shared" si="76"/>
        <v>4.5110132158590307E-3</v>
      </c>
      <c r="DP33" s="22">
        <f t="shared" si="77"/>
        <v>0.36670934190807947</v>
      </c>
      <c r="DQ33" s="22">
        <f t="shared" si="78"/>
        <v>0.19169932985480784</v>
      </c>
      <c r="DR33" s="22">
        <f t="shared" si="79"/>
        <v>2.2911022944905442E-2</v>
      </c>
      <c r="DS33" s="22">
        <f t="shared" si="80"/>
        <v>1.8047475476665677E-3</v>
      </c>
      <c r="DT33" s="22">
        <f t="shared" si="198"/>
        <v>1.6556936162685632</v>
      </c>
      <c r="DU33" s="22">
        <f t="shared" si="82"/>
        <v>0.79654751740471308</v>
      </c>
      <c r="DV33" s="22">
        <f t="shared" si="83"/>
        <v>1.9154018337781738E-2</v>
      </c>
      <c r="DW33" s="22">
        <f t="shared" si="84"/>
        <v>0.14319200478614372</v>
      </c>
      <c r="DX33" s="22">
        <f t="shared" si="85"/>
        <v>0</v>
      </c>
      <c r="DZ33" s="22">
        <f t="shared" si="86"/>
        <v>0.18076062266167825</v>
      </c>
      <c r="EA33" s="22">
        <f t="shared" si="87"/>
        <v>4.5110132158590307E-3</v>
      </c>
      <c r="EB33" s="22">
        <f t="shared" si="88"/>
        <v>0.36670934190807947</v>
      </c>
      <c r="EC33" s="22">
        <f t="shared" si="89"/>
        <v>0.19169932985480784</v>
      </c>
      <c r="ED33" s="22">
        <f t="shared" si="90"/>
        <v>4.5822045889810883E-2</v>
      </c>
      <c r="EE33" s="22">
        <f t="shared" si="91"/>
        <v>3.6094950953331354E-3</v>
      </c>
      <c r="EG33" s="22">
        <f t="shared" si="199"/>
        <v>1.5930950348094262</v>
      </c>
      <c r="EH33" s="22">
        <f t="shared" si="200"/>
        <v>3.8308036675563477E-2</v>
      </c>
      <c r="EI33" s="22">
        <f t="shared" si="201"/>
        <v>0.21478800717921559</v>
      </c>
      <c r="EJ33" s="22">
        <f t="shared" si="202"/>
        <v>0</v>
      </c>
      <c r="EL33" s="22">
        <f t="shared" si="203"/>
        <v>0.18076062266167825</v>
      </c>
      <c r="EM33" s="22">
        <f t="shared" si="204"/>
        <v>4.5110132158590307E-3</v>
      </c>
      <c r="EN33" s="22">
        <f t="shared" si="205"/>
        <v>0.36670934190807947</v>
      </c>
      <c r="EO33" s="22">
        <f t="shared" si="206"/>
        <v>0.19169932985480784</v>
      </c>
      <c r="EP33" s="22">
        <f t="shared" si="207"/>
        <v>2.2911022944905442E-2</v>
      </c>
      <c r="EQ33" s="22">
        <f t="shared" si="208"/>
        <v>1.8047475476665677E-3</v>
      </c>
      <c r="ER33" s="22">
        <f t="shared" si="209"/>
        <v>2.6145871567972017</v>
      </c>
      <c r="ES33" s="22">
        <f t="shared" si="210"/>
        <v>8.7967998849096993</v>
      </c>
      <c r="EU33" s="86">
        <f t="shared" si="211"/>
        <v>7.007069109430887</v>
      </c>
      <c r="EV33" s="86">
        <f t="shared" si="212"/>
        <v>0.16849406630935668</v>
      </c>
      <c r="EW33" s="86">
        <f t="shared" si="213"/>
        <v>1.2596314112227383</v>
      </c>
      <c r="EX33" s="86">
        <f t="shared" si="214"/>
        <v>0</v>
      </c>
      <c r="EY33" s="86"/>
      <c r="EZ33" s="86">
        <f t="shared" si="215"/>
        <v>1.5901150246264568</v>
      </c>
      <c r="FA33" s="86">
        <f t="shared" si="216"/>
        <v>3.9682480538094853E-2</v>
      </c>
      <c r="FB33" s="86">
        <f t="shared" si="217"/>
        <v>3.2258686966923049</v>
      </c>
      <c r="FC33" s="86">
        <f t="shared" si="218"/>
        <v>1.6863406428040402</v>
      </c>
      <c r="FD33" s="86">
        <f t="shared" si="219"/>
        <v>0.40308736800981532</v>
      </c>
      <c r="FE33" s="86">
        <f t="shared" si="220"/>
        <v>3.175200603920865E-2</v>
      </c>
      <c r="FF33" s="22">
        <f t="shared" si="221"/>
        <v>14.977201431623879</v>
      </c>
      <c r="FG33" s="22">
        <f t="shared" si="222"/>
        <v>15.412040805672904</v>
      </c>
      <c r="FH33" s="22">
        <f t="shared" si="223"/>
        <v>13.290860788819838</v>
      </c>
      <c r="FI33" s="22" t="str">
        <f t="shared" si="224"/>
        <v>Good</v>
      </c>
      <c r="FJ33" s="22">
        <f t="shared" si="225"/>
        <v>443.00982560312451</v>
      </c>
      <c r="FK33" s="22">
        <f t="shared" si="158"/>
        <v>0.66982549845682704</v>
      </c>
      <c r="FL33" s="22">
        <f t="shared" si="226"/>
        <v>0.14288443708377185</v>
      </c>
      <c r="FM33" s="87"/>
      <c r="FN33" s="87">
        <f t="shared" si="120"/>
        <v>-14.704331703312576</v>
      </c>
      <c r="FO33" s="22">
        <f t="shared" si="121"/>
        <v>8.2776062248620844E-2</v>
      </c>
      <c r="FP33" s="88">
        <f t="shared" si="227"/>
        <v>0.11292799137380692</v>
      </c>
      <c r="FQ33" s="88">
        <f t="shared" si="228"/>
        <v>1.47718703325265</v>
      </c>
      <c r="FR33" s="87">
        <f t="shared" si="229"/>
        <v>7.007069109430887</v>
      </c>
      <c r="FS33" s="87">
        <f t="shared" si="230"/>
        <v>0.99293089056911299</v>
      </c>
      <c r="FT33" s="87">
        <f t="shared" si="231"/>
        <v>0</v>
      </c>
      <c r="FU33" s="86">
        <f t="shared" si="232"/>
        <v>8</v>
      </c>
      <c r="FV33" s="87">
        <f t="shared" si="233"/>
        <v>0.26670052065362526</v>
      </c>
      <c r="FW33" s="87">
        <f t="shared" si="234"/>
        <v>0</v>
      </c>
      <c r="FX33" s="87">
        <f t="shared" si="235"/>
        <v>0.11292799137380692</v>
      </c>
      <c r="FY33" s="87">
        <f t="shared" si="236"/>
        <v>0.16849406630935668</v>
      </c>
      <c r="FZ33" s="87">
        <f t="shared" si="237"/>
        <v>0.5481225783367889</v>
      </c>
      <c r="GA33" s="87">
        <f t="shared" si="238"/>
        <v>3.2258686966923049</v>
      </c>
      <c r="GB33" s="87">
        <f t="shared" si="239"/>
        <v>3.7739912750290938</v>
      </c>
      <c r="GC33" s="87">
        <f t="shared" si="240"/>
        <v>1.2260087249709062</v>
      </c>
      <c r="GD33" s="87">
        <f t="shared" si="241"/>
        <v>5</v>
      </c>
      <c r="GE33" s="87">
        <f t="shared" si="242"/>
        <v>0</v>
      </c>
      <c r="GF33" s="87">
        <f t="shared" si="243"/>
        <v>5</v>
      </c>
      <c r="GG33" s="86">
        <f t="shared" si="244"/>
        <v>0</v>
      </c>
      <c r="GH33" s="86">
        <f t="shared" si="245"/>
        <v>0.25117830828174381</v>
      </c>
      <c r="GI33" s="86">
        <f t="shared" si="246"/>
        <v>3.9682480538094853E-2</v>
      </c>
      <c r="GJ33" s="89">
        <f t="shared" si="247"/>
        <v>0.29086078881983868</v>
      </c>
      <c r="GK33" s="89">
        <f t="shared" si="248"/>
        <v>0.29086078881983868</v>
      </c>
      <c r="GL33" s="87">
        <f t="shared" si="249"/>
        <v>1.6863406428040402</v>
      </c>
      <c r="GM33" s="87">
        <f t="shared" si="250"/>
        <v>2.2798568376121153E-2</v>
      </c>
      <c r="GN33" s="89">
        <f t="shared" si="251"/>
        <v>2</v>
      </c>
      <c r="GO33" s="87"/>
      <c r="GP33" s="86" t="str">
        <f t="shared" si="252"/>
        <v>CALCIC</v>
      </c>
      <c r="GQ33" s="87"/>
      <c r="GR33" s="87">
        <f t="shared" si="253"/>
        <v>0.38028879963369416</v>
      </c>
      <c r="GS33" s="87">
        <f t="shared" si="254"/>
        <v>3.175200603920865E-2</v>
      </c>
      <c r="GT33" s="87">
        <f t="shared" si="255"/>
        <v>0.4120408056729028</v>
      </c>
      <c r="GU33" s="86">
        <f t="shared" si="256"/>
        <v>0</v>
      </c>
      <c r="GV33" s="86">
        <f t="shared" si="257"/>
        <v>0.40308736800981532</v>
      </c>
    </row>
    <row r="34" spans="1:204" s="22" customFormat="1" ht="18" customHeight="1" x14ac:dyDescent="0.35">
      <c r="A34" s="97" t="s">
        <v>165</v>
      </c>
      <c r="B34" s="97" t="s">
        <v>166</v>
      </c>
      <c r="C34" s="36">
        <f t="shared" si="0"/>
        <v>819.5243999093027</v>
      </c>
      <c r="D34" s="36">
        <f t="shared" si="161"/>
        <v>-5.1007771792047407E-2</v>
      </c>
      <c r="F34" s="96">
        <v>71.362822784228072</v>
      </c>
      <c r="G34" s="96">
        <v>0.20992968092596864</v>
      </c>
      <c r="H34" s="96">
        <v>12.394088357354295</v>
      </c>
      <c r="I34" s="96">
        <v>1.5397990640447192</v>
      </c>
      <c r="J34" s="96">
        <v>6.4500250531670328E-2</v>
      </c>
      <c r="K34" s="96">
        <v>0.46329480500632347</v>
      </c>
      <c r="L34" s="96">
        <v>2.2483726400304649</v>
      </c>
      <c r="M34" s="96">
        <v>4.082998496809978</v>
      </c>
      <c r="N34" s="96">
        <v>1.6766398865530516</v>
      </c>
      <c r="O34" s="96">
        <v>0</v>
      </c>
      <c r="P34" s="96">
        <v>4.7071822264053376E-2</v>
      </c>
      <c r="Q34" s="95">
        <v>5</v>
      </c>
      <c r="S34" s="99">
        <v>47.44</v>
      </c>
      <c r="T34" s="99">
        <v>1.65</v>
      </c>
      <c r="U34" s="99">
        <v>7.47</v>
      </c>
      <c r="V34" s="99">
        <v>13.170999999999999</v>
      </c>
      <c r="W34" s="98">
        <v>0.36</v>
      </c>
      <c r="X34" s="99">
        <v>14.73</v>
      </c>
      <c r="Y34" s="99">
        <v>10.85</v>
      </c>
      <c r="Z34" s="98">
        <v>1.36</v>
      </c>
      <c r="AA34" s="98">
        <v>0.17</v>
      </c>
      <c r="AB34" s="98"/>
      <c r="AD34" s="35">
        <f t="shared" si="1"/>
        <v>2.3501645877307045</v>
      </c>
      <c r="AE34" s="36"/>
      <c r="AF34" s="50">
        <f t="shared" si="2"/>
        <v>0.26903537105254677</v>
      </c>
      <c r="AG34" s="35">
        <f t="shared" si="3"/>
        <v>72.792700086758671</v>
      </c>
      <c r="AH34" s="35">
        <f t="shared" si="4"/>
        <v>0.4</v>
      </c>
      <c r="AI34" s="35">
        <f t="shared" si="5"/>
        <v>-5.1007771792047407E-2</v>
      </c>
      <c r="AJ34" s="35">
        <f t="shared" si="6"/>
        <v>1.0829697614142884</v>
      </c>
      <c r="AK34" s="36"/>
      <c r="AL34" s="37">
        <f t="shared" si="162"/>
        <v>806.3079907561447</v>
      </c>
      <c r="AM34" s="37">
        <f t="shared" si="8"/>
        <v>804.3487312075905</v>
      </c>
      <c r="AN34" s="37">
        <f t="shared" si="163"/>
        <v>820.35517994073621</v>
      </c>
      <c r="AO34" s="37">
        <f t="shared" si="164"/>
        <v>827.94346252785135</v>
      </c>
      <c r="AP34" s="37">
        <f t="shared" si="10"/>
        <v>824.99778599981244</v>
      </c>
      <c r="AQ34" s="37">
        <f t="shared" si="11"/>
        <v>811.14239953780668</v>
      </c>
      <c r="AR34" s="37">
        <f t="shared" si="12"/>
        <v>827.57779203140058</v>
      </c>
      <c r="AS34" s="37">
        <f t="shared" si="13"/>
        <v>833.52185727307926</v>
      </c>
      <c r="AT34"/>
      <c r="AU34" s="35">
        <f t="shared" si="154"/>
        <v>2.5844552364732953</v>
      </c>
      <c r="AV34"/>
      <c r="AW34" s="37">
        <f t="shared" si="165"/>
        <v>874.091303104281</v>
      </c>
      <c r="AX34" s="37">
        <f t="shared" si="166"/>
        <v>862.07121154886522</v>
      </c>
      <c r="AY34" s="38"/>
      <c r="AZ34" s="50">
        <f t="shared" si="16"/>
        <v>-1.1894016205819073</v>
      </c>
      <c r="BA34" s="38"/>
      <c r="BB34" s="35">
        <f t="shared" si="167"/>
        <v>1.0653204378781524</v>
      </c>
      <c r="BC34" s="35">
        <f t="shared" si="168"/>
        <v>1.3763478198405952</v>
      </c>
      <c r="BD34" s="35">
        <f t="shared" si="169"/>
        <v>0.9129167128587079</v>
      </c>
      <c r="BE34" s="35">
        <f t="shared" si="170"/>
        <v>-6.8163760988267512</v>
      </c>
      <c r="BF34" s="35">
        <f t="shared" si="171"/>
        <v>2.2565720976663619</v>
      </c>
      <c r="BG34" s="35">
        <f t="shared" si="172"/>
        <v>0.95850437144003675</v>
      </c>
      <c r="BH34" s="36"/>
      <c r="BI34" s="50">
        <f t="shared" si="173"/>
        <v>0.33404672095361615</v>
      </c>
      <c r="BJ34" s="50" t="str">
        <f t="shared" si="23"/>
        <v>NO</v>
      </c>
      <c r="BK34" s="35">
        <f t="shared" si="174"/>
        <v>2.5716252136912106</v>
      </c>
      <c r="BL34" s="35">
        <f t="shared" si="175"/>
        <v>2.1207158495770519</v>
      </c>
      <c r="BM34" s="35">
        <f t="shared" si="176"/>
        <v>1.7559096664466076</v>
      </c>
      <c r="BN34" s="35">
        <f t="shared" si="177"/>
        <v>2.5188799612760286</v>
      </c>
      <c r="BO34" s="35">
        <f t="shared" si="178"/>
        <v>1.999159970957022</v>
      </c>
      <c r="BP34" s="35">
        <f t="shared" si="29"/>
        <v>0.66924753908539758</v>
      </c>
      <c r="BQ34" s="35">
        <f t="shared" si="179"/>
        <v>2.9616252136912107</v>
      </c>
      <c r="BR34" s="35">
        <f t="shared" si="180"/>
        <v>3.1331681942684213</v>
      </c>
      <c r="BS34" s="23"/>
      <c r="BT34" s="23">
        <f t="shared" si="32"/>
        <v>1.1877116448760836</v>
      </c>
      <c r="BU34" s="23">
        <f t="shared" si="33"/>
        <v>2.6281025869939038E-3</v>
      </c>
      <c r="BV34" s="23">
        <f t="shared" si="34"/>
        <v>0.12155714790316195</v>
      </c>
      <c r="BW34" s="23">
        <f t="shared" si="35"/>
        <v>0</v>
      </c>
      <c r="BX34" s="23">
        <f t="shared" si="36"/>
        <v>2.1431819326294975E-2</v>
      </c>
      <c r="BY34" s="23">
        <f t="shared" si="37"/>
        <v>9.0925463304557285E-4</v>
      </c>
      <c r="BZ34" s="23">
        <f t="shared" si="38"/>
        <v>1.1494893981955407E-2</v>
      </c>
      <c r="CA34" s="23">
        <f t="shared" si="39"/>
        <v>4.0094095661183736E-2</v>
      </c>
      <c r="CB34" s="23">
        <f t="shared" si="40"/>
        <v>6.5877233974949184E-2</v>
      </c>
      <c r="CC34" s="23">
        <f t="shared" si="41"/>
        <v>1.7799480726921012E-2</v>
      </c>
      <c r="CD34" s="23">
        <f t="shared" si="42"/>
        <v>3.3163884162729502E-4</v>
      </c>
      <c r="CE34" s="23">
        <f t="shared" si="43"/>
        <v>0.27756374528974326</v>
      </c>
      <c r="CF34" s="22">
        <f t="shared" si="181"/>
        <v>1.7473990578019598</v>
      </c>
      <c r="CG34" s="22">
        <f t="shared" si="182"/>
        <v>1.6754008139588761</v>
      </c>
      <c r="CH34" s="22">
        <f t="shared" si="183"/>
        <v>1.4698353125122166</v>
      </c>
      <c r="CI34" s="23">
        <f t="shared" si="184"/>
        <v>0.67970257828231706</v>
      </c>
      <c r="CJ34" s="23">
        <f t="shared" si="185"/>
        <v>1.5040082431426822E-3</v>
      </c>
      <c r="CK34" s="23">
        <f t="shared" si="186"/>
        <v>6.9564617973451232E-2</v>
      </c>
      <c r="CL34" s="23">
        <f t="shared" si="187"/>
        <v>0</v>
      </c>
      <c r="CM34" s="23">
        <f t="shared" si="188"/>
        <v>1.226498276429993E-2</v>
      </c>
      <c r="CN34" s="23">
        <f t="shared" si="189"/>
        <v>5.2034744381132807E-4</v>
      </c>
      <c r="CO34" s="23">
        <f t="shared" si="190"/>
        <v>6.5782878448010316E-3</v>
      </c>
      <c r="CP34" s="23">
        <f t="shared" si="191"/>
        <v>2.2945013894890041E-2</v>
      </c>
      <c r="CQ34" s="23">
        <f t="shared" si="192"/>
        <v>3.7700165672411239E-2</v>
      </c>
      <c r="CR34" s="23">
        <f t="shared" si="193"/>
        <v>1.0186271216896983E-2</v>
      </c>
      <c r="CS34" s="23">
        <f t="shared" si="194"/>
        <v>1.8978998537658653E-4</v>
      </c>
      <c r="CT34" s="23">
        <f t="shared" si="195"/>
        <v>0.15884393667860197</v>
      </c>
      <c r="CU34" s="22">
        <f t="shared" si="196"/>
        <v>1</v>
      </c>
      <c r="CV34" s="22">
        <f t="shared" si="58"/>
        <v>0.84115606332139803</v>
      </c>
      <c r="CX34">
        <f t="shared" si="59"/>
        <v>0.70891194213376862</v>
      </c>
      <c r="CY34">
        <f t="shared" si="60"/>
        <v>1.5686411067115623E-3</v>
      </c>
      <c r="CZ34">
        <f t="shared" si="61"/>
        <v>0.14510813996315231</v>
      </c>
      <c r="DA34">
        <f t="shared" si="62"/>
        <v>0</v>
      </c>
      <c r="DB34">
        <f t="shared" si="63"/>
        <v>1.2792054980355903E-2</v>
      </c>
      <c r="DC34">
        <f t="shared" si="64"/>
        <v>5.4270872108331874E-4</v>
      </c>
      <c r="DD34">
        <f t="shared" si="65"/>
        <v>6.8609814954032587E-3</v>
      </c>
      <c r="DE34">
        <f t="shared" si="66"/>
        <v>2.3931047022976961E-2</v>
      </c>
      <c r="DF34">
        <f t="shared" si="67"/>
        <v>7.8640565799040121E-2</v>
      </c>
      <c r="DG34">
        <f t="shared" si="68"/>
        <v>2.1248026834679471E-2</v>
      </c>
      <c r="DH34">
        <f t="shared" si="69"/>
        <v>3.9589194282847631E-4</v>
      </c>
      <c r="DI34" s="22">
        <f t="shared" si="197"/>
        <v>1</v>
      </c>
      <c r="DJ34" s="22">
        <f t="shared" si="71"/>
        <v>0.78955733860592536</v>
      </c>
      <c r="DK34" s="22">
        <f t="shared" si="72"/>
        <v>2.0656294285843053E-2</v>
      </c>
      <c r="DL34" s="22">
        <f t="shared" si="73"/>
        <v>7.3263306558389973E-2</v>
      </c>
      <c r="DM34" s="22">
        <f t="shared" si="74"/>
        <v>0</v>
      </c>
      <c r="DN34" s="22">
        <f t="shared" si="75"/>
        <v>0.18332164172456794</v>
      </c>
      <c r="DO34" s="22">
        <f t="shared" si="76"/>
        <v>5.0748898678414098E-3</v>
      </c>
      <c r="DP34" s="22">
        <f t="shared" si="77"/>
        <v>0.36546878256468274</v>
      </c>
      <c r="DQ34" s="22">
        <f t="shared" si="78"/>
        <v>0.19348257943485256</v>
      </c>
      <c r="DR34" s="22">
        <f t="shared" si="79"/>
        <v>2.1942951552867185E-2</v>
      </c>
      <c r="DS34" s="22">
        <f t="shared" si="80"/>
        <v>1.8047475476665677E-3</v>
      </c>
      <c r="DT34" s="22">
        <f t="shared" si="198"/>
        <v>1.6545725321426368</v>
      </c>
      <c r="DU34" s="22">
        <f t="shared" si="82"/>
        <v>0.78955733860592536</v>
      </c>
      <c r="DV34" s="22">
        <f t="shared" si="83"/>
        <v>2.0656294285843053E-2</v>
      </c>
      <c r="DW34" s="22">
        <f t="shared" si="84"/>
        <v>0.14652661311677995</v>
      </c>
      <c r="DX34" s="22">
        <f t="shared" si="85"/>
        <v>0</v>
      </c>
      <c r="DZ34" s="22">
        <f t="shared" si="86"/>
        <v>0.18332164172456794</v>
      </c>
      <c r="EA34" s="22">
        <f t="shared" si="87"/>
        <v>5.0748898678414098E-3</v>
      </c>
      <c r="EB34" s="22">
        <f t="shared" si="88"/>
        <v>0.36546878256468274</v>
      </c>
      <c r="EC34" s="22">
        <f t="shared" si="89"/>
        <v>0.19348257943485256</v>
      </c>
      <c r="ED34" s="22">
        <f t="shared" si="90"/>
        <v>4.388590310573437E-2</v>
      </c>
      <c r="EE34" s="22">
        <f t="shared" si="91"/>
        <v>3.6094950953331354E-3</v>
      </c>
      <c r="EG34" s="22">
        <f t="shared" si="199"/>
        <v>1.5791146772118507</v>
      </c>
      <c r="EH34" s="22">
        <f t="shared" si="200"/>
        <v>4.1312588571686105E-2</v>
      </c>
      <c r="EI34" s="22">
        <f t="shared" si="201"/>
        <v>0.21978991967516992</v>
      </c>
      <c r="EJ34" s="22">
        <f t="shared" si="202"/>
        <v>0</v>
      </c>
      <c r="EL34" s="22">
        <f t="shared" si="203"/>
        <v>0.18332164172456794</v>
      </c>
      <c r="EM34" s="22">
        <f t="shared" si="204"/>
        <v>5.0748898678414098E-3</v>
      </c>
      <c r="EN34" s="22">
        <f t="shared" si="205"/>
        <v>0.36546878256468274</v>
      </c>
      <c r="EO34" s="22">
        <f t="shared" si="206"/>
        <v>0.19348257943485256</v>
      </c>
      <c r="EP34" s="22">
        <f t="shared" si="207"/>
        <v>2.1942951552867185E-2</v>
      </c>
      <c r="EQ34" s="22">
        <f t="shared" si="208"/>
        <v>1.8047475476665677E-3</v>
      </c>
      <c r="ER34" s="22">
        <f t="shared" si="209"/>
        <v>2.6113127781511847</v>
      </c>
      <c r="ES34" s="22">
        <f t="shared" si="210"/>
        <v>8.8078303726924858</v>
      </c>
      <c r="EU34" s="86">
        <f t="shared" si="211"/>
        <v>6.9542871079555146</v>
      </c>
      <c r="EV34" s="86">
        <f t="shared" si="212"/>
        <v>0.18193713619812268</v>
      </c>
      <c r="EW34" s="86">
        <f t="shared" si="213"/>
        <v>1.2905815534177356</v>
      </c>
      <c r="EX34" s="86">
        <f t="shared" si="214"/>
        <v>0</v>
      </c>
      <c r="EY34" s="86"/>
      <c r="EZ34" s="86">
        <f t="shared" si="215"/>
        <v>1.6146659239534995</v>
      </c>
      <c r="FA34" s="86">
        <f t="shared" si="216"/>
        <v>4.4698769116042925E-2</v>
      </c>
      <c r="FB34" s="86">
        <f t="shared" si="217"/>
        <v>3.2189870433441587</v>
      </c>
      <c r="FC34" s="86">
        <f t="shared" si="218"/>
        <v>1.704161739733181</v>
      </c>
      <c r="FD34" s="86">
        <f t="shared" si="219"/>
        <v>0.38653959030772667</v>
      </c>
      <c r="FE34" s="86">
        <f t="shared" si="220"/>
        <v>3.1791820530759747E-2</v>
      </c>
      <c r="FF34" s="22">
        <f t="shared" si="221"/>
        <v>15.009319273718253</v>
      </c>
      <c r="FG34" s="22">
        <f t="shared" si="222"/>
        <v>15.42765068455674</v>
      </c>
      <c r="FH34" s="22">
        <f t="shared" si="223"/>
        <v>13.305157533985073</v>
      </c>
      <c r="FI34" s="22" t="str">
        <f t="shared" si="224"/>
        <v>Good</v>
      </c>
      <c r="FJ34" s="22">
        <f t="shared" si="225"/>
        <v>458.41235271315861</v>
      </c>
      <c r="FK34" s="22">
        <f t="shared" si="158"/>
        <v>0.66595327904638391</v>
      </c>
      <c r="FL34" s="22">
        <f t="shared" si="226"/>
        <v>0.14157100166922038</v>
      </c>
      <c r="FM34" s="87"/>
      <c r="FN34" s="87">
        <f t="shared" si="120"/>
        <v>-14.65423453380768</v>
      </c>
      <c r="FO34" s="22">
        <f t="shared" si="121"/>
        <v>8.1603980425094341E-2</v>
      </c>
      <c r="FP34" s="88">
        <f t="shared" si="227"/>
        <v>0.11327567458794087</v>
      </c>
      <c r="FQ34" s="88">
        <f t="shared" si="228"/>
        <v>1.5013902493655586</v>
      </c>
      <c r="FR34" s="87">
        <f t="shared" si="229"/>
        <v>6.9542871079555146</v>
      </c>
      <c r="FS34" s="87">
        <f t="shared" si="230"/>
        <v>1.0457128920444854</v>
      </c>
      <c r="FT34" s="87">
        <f t="shared" si="231"/>
        <v>0</v>
      </c>
      <c r="FU34" s="86">
        <f t="shared" si="232"/>
        <v>8</v>
      </c>
      <c r="FV34" s="87">
        <f t="shared" si="233"/>
        <v>0.24486866137325025</v>
      </c>
      <c r="FW34" s="87">
        <f t="shared" si="234"/>
        <v>0</v>
      </c>
      <c r="FX34" s="87">
        <f t="shared" si="235"/>
        <v>0.11327567458794087</v>
      </c>
      <c r="FY34" s="87">
        <f t="shared" si="236"/>
        <v>0.18193713619812268</v>
      </c>
      <c r="FZ34" s="87">
        <f t="shared" si="237"/>
        <v>0.54008147215931379</v>
      </c>
      <c r="GA34" s="87">
        <f t="shared" si="238"/>
        <v>3.2189870433441587</v>
      </c>
      <c r="GB34" s="87">
        <f t="shared" si="239"/>
        <v>3.7590685155034724</v>
      </c>
      <c r="GC34" s="87">
        <f t="shared" si="240"/>
        <v>1.2409314844965276</v>
      </c>
      <c r="GD34" s="87">
        <f t="shared" si="241"/>
        <v>5</v>
      </c>
      <c r="GE34" s="87">
        <f t="shared" si="242"/>
        <v>0</v>
      </c>
      <c r="GF34" s="87">
        <f t="shared" si="243"/>
        <v>5</v>
      </c>
      <c r="GG34" s="86">
        <f t="shared" si="244"/>
        <v>0</v>
      </c>
      <c r="GH34" s="86">
        <f t="shared" si="245"/>
        <v>0.26045876486903108</v>
      </c>
      <c r="GI34" s="86">
        <f t="shared" si="246"/>
        <v>4.4698769116042925E-2</v>
      </c>
      <c r="GJ34" s="89">
        <f t="shared" si="247"/>
        <v>0.305157533985074</v>
      </c>
      <c r="GK34" s="89">
        <f t="shared" si="248"/>
        <v>0.305157533985074</v>
      </c>
      <c r="GL34" s="87">
        <f t="shared" si="249"/>
        <v>1.6948424660149259</v>
      </c>
      <c r="GM34" s="87">
        <f t="shared" si="250"/>
        <v>0</v>
      </c>
      <c r="GN34" s="89">
        <f t="shared" si="251"/>
        <v>2</v>
      </c>
      <c r="GO34" s="87"/>
      <c r="GP34" s="86" t="str">
        <f t="shared" si="252"/>
        <v>CALCIC</v>
      </c>
      <c r="GQ34" s="87"/>
      <c r="GR34" s="87">
        <f t="shared" si="253"/>
        <v>0.38653959030772667</v>
      </c>
      <c r="GS34" s="87">
        <f t="shared" si="254"/>
        <v>3.1791820530759747E-2</v>
      </c>
      <c r="GT34" s="87">
        <f t="shared" si="255"/>
        <v>0.41833141083848641</v>
      </c>
      <c r="GU34" s="86">
        <f t="shared" si="256"/>
        <v>0</v>
      </c>
      <c r="GV34" s="86">
        <f t="shared" si="257"/>
        <v>0.38653959030772667</v>
      </c>
    </row>
    <row r="35" spans="1:204" s="22" customFormat="1" ht="18" customHeight="1" x14ac:dyDescent="0.35">
      <c r="A35" s="97" t="s">
        <v>165</v>
      </c>
      <c r="B35" s="97" t="s">
        <v>166</v>
      </c>
      <c r="C35" s="36">
        <f t="shared" si="0"/>
        <v>992.88136149048262</v>
      </c>
      <c r="D35" s="36">
        <f t="shared" si="161"/>
        <v>7.3358935393636422</v>
      </c>
      <c r="F35" s="96">
        <v>55.080794381375242</v>
      </c>
      <c r="G35" s="96">
        <v>0.73570351476809126</v>
      </c>
      <c r="H35" s="96">
        <v>20.416379435009912</v>
      </c>
      <c r="I35" s="96">
        <v>7.8660455164031635</v>
      </c>
      <c r="J35" s="96">
        <v>0.18322337430247226</v>
      </c>
      <c r="K35" s="96">
        <v>4.7712481532611344</v>
      </c>
      <c r="L35" s="96">
        <v>9.5922458675672111</v>
      </c>
      <c r="M35" s="96">
        <v>3.3706597541851657</v>
      </c>
      <c r="N35" s="96">
        <v>0.26892284755640072</v>
      </c>
      <c r="O35" s="96">
        <v>0</v>
      </c>
      <c r="P35" s="96">
        <v>0.23363673104674207</v>
      </c>
      <c r="Q35" s="95">
        <v>5</v>
      </c>
      <c r="S35" s="99">
        <v>41.03</v>
      </c>
      <c r="T35" s="99">
        <v>2.02</v>
      </c>
      <c r="U35" s="99">
        <v>14.4</v>
      </c>
      <c r="V35" s="99">
        <v>6.6995100000000001</v>
      </c>
      <c r="W35" s="99">
        <v>0.16</v>
      </c>
      <c r="X35" s="99">
        <v>15.08</v>
      </c>
      <c r="Y35" s="99">
        <v>11.4</v>
      </c>
      <c r="Z35" s="98">
        <v>2.4</v>
      </c>
      <c r="AA35" s="98">
        <v>0.21</v>
      </c>
      <c r="AB35" s="98"/>
      <c r="AD35" s="35">
        <f t="shared" si="1"/>
        <v>10.869414069237852</v>
      </c>
      <c r="AE35" s="36"/>
      <c r="AF35" s="50">
        <f t="shared" si="2"/>
        <v>0.26947423514580204</v>
      </c>
      <c r="AG35" s="35">
        <f t="shared" si="3"/>
        <v>50.118353688796255</v>
      </c>
      <c r="AH35" s="35">
        <f t="shared" si="4"/>
        <v>6.3</v>
      </c>
      <c r="AI35" s="35">
        <f t="shared" si="5"/>
        <v>7.3358935393636422</v>
      </c>
      <c r="AJ35" s="35">
        <f t="shared" si="6"/>
        <v>6.0692924152612484</v>
      </c>
      <c r="AK35" s="36"/>
      <c r="AL35" s="37">
        <f t="shared" si="162"/>
        <v>1003.81573518946</v>
      </c>
      <c r="AM35" s="37">
        <f t="shared" si="8"/>
        <v>1001.2201541028243</v>
      </c>
      <c r="AN35" s="37">
        <f t="shared" si="163"/>
        <v>963.87311266727193</v>
      </c>
      <c r="AO35" s="37">
        <f t="shared" si="164"/>
        <v>971.16703420544923</v>
      </c>
      <c r="AP35" s="37">
        <f t="shared" si="10"/>
        <v>978.59505475189258</v>
      </c>
      <c r="AQ35" s="37">
        <f t="shared" si="11"/>
        <v>1029.0290354502433</v>
      </c>
      <c r="AR35" s="37">
        <f t="shared" si="12"/>
        <v>978.19586367205727</v>
      </c>
      <c r="AS35" s="37">
        <f t="shared" si="13"/>
        <v>1017.1549018846623</v>
      </c>
      <c r="AT35"/>
      <c r="AU35" s="35">
        <f t="shared" si="154"/>
        <v>7.7804648542167616</v>
      </c>
      <c r="AV35"/>
      <c r="AW35" s="37">
        <f t="shared" si="165"/>
        <v>950.28982523948389</v>
      </c>
      <c r="AX35" s="37">
        <f t="shared" si="166"/>
        <v>1020.3872864573444</v>
      </c>
      <c r="AY35" s="38"/>
      <c r="AZ35" s="50">
        <f t="shared" si="16"/>
        <v>9.2322764916691266E-2</v>
      </c>
      <c r="BA35" s="38"/>
      <c r="BB35" s="35">
        <f t="shared" si="167"/>
        <v>7.7237805873851819</v>
      </c>
      <c r="BC35" s="35">
        <f t="shared" si="168"/>
        <v>7.0621038745203224</v>
      </c>
      <c r="BD35" s="35">
        <f t="shared" si="169"/>
        <v>5.5693154874410844</v>
      </c>
      <c r="BE35" s="35">
        <f t="shared" si="170"/>
        <v>9.5008204800087253</v>
      </c>
      <c r="BF35" s="35">
        <f t="shared" si="171"/>
        <v>16.385228413558419</v>
      </c>
      <c r="BG35" s="35">
        <f t="shared" si="172"/>
        <v>4.5919376486799797</v>
      </c>
      <c r="BH35" s="36"/>
      <c r="BI35" s="50">
        <f t="shared" si="173"/>
        <v>0.19950278839937785</v>
      </c>
      <c r="BJ35" s="50" t="str">
        <f t="shared" si="23"/>
        <v>NO</v>
      </c>
      <c r="BK35" s="35">
        <f t="shared" si="174"/>
        <v>8.8752237239549228</v>
      </c>
      <c r="BL35" s="35">
        <f t="shared" si="175"/>
        <v>8.2950368112760184</v>
      </c>
      <c r="BM35" s="35">
        <f t="shared" si="176"/>
        <v>11.220290485111628</v>
      </c>
      <c r="BN35" s="35">
        <f t="shared" si="177"/>
        <v>9.5869307759653601</v>
      </c>
      <c r="BO35" s="35">
        <f t="shared" si="178"/>
        <v>7.3001980819740213</v>
      </c>
      <c r="BP35" s="35">
        <f t="shared" si="29"/>
        <v>-2.2371286620206554</v>
      </c>
      <c r="BQ35" s="35">
        <f t="shared" si="179"/>
        <v>9.2652237239549233</v>
      </c>
      <c r="BR35" s="35">
        <f t="shared" si="180"/>
        <v>9.0984025697863675</v>
      </c>
      <c r="BS35" s="23"/>
      <c r="BT35" s="23">
        <f t="shared" si="32"/>
        <v>0.91672524072636685</v>
      </c>
      <c r="BU35" s="23">
        <f t="shared" si="33"/>
        <v>9.2102474595022864E-3</v>
      </c>
      <c r="BV35" s="23">
        <f t="shared" si="34"/>
        <v>0.20023714395710038</v>
      </c>
      <c r="BW35" s="23">
        <f t="shared" si="35"/>
        <v>0</v>
      </c>
      <c r="BX35" s="23">
        <f t="shared" si="36"/>
        <v>0.1094841984623191</v>
      </c>
      <c r="BY35" s="23">
        <f t="shared" si="37"/>
        <v>2.5828845716648072E-3</v>
      </c>
      <c r="BZ35" s="23">
        <f t="shared" si="38"/>
        <v>0.11838032952385184</v>
      </c>
      <c r="CA35" s="23">
        <f t="shared" si="39"/>
        <v>0.17105368415024969</v>
      </c>
      <c r="CB35" s="23">
        <f t="shared" si="40"/>
        <v>5.4383988005356106E-2</v>
      </c>
      <c r="CC35" s="23">
        <f t="shared" si="41"/>
        <v>2.8549285272877908E-3</v>
      </c>
      <c r="CD35" s="23">
        <f t="shared" si="42"/>
        <v>1.646059385831334E-3</v>
      </c>
      <c r="CE35" s="23">
        <f t="shared" si="43"/>
        <v>0.27756374528974326</v>
      </c>
      <c r="CF35" s="22">
        <f t="shared" si="181"/>
        <v>1.8641224500592737</v>
      </c>
      <c r="CG35" s="22">
        <f t="shared" si="182"/>
        <v>1.845680824645106</v>
      </c>
      <c r="CH35" s="22">
        <f t="shared" si="183"/>
        <v>1.5865587047695304</v>
      </c>
      <c r="CI35" s="23">
        <f t="shared" si="184"/>
        <v>0.49177308105334905</v>
      </c>
      <c r="CJ35" s="23">
        <f t="shared" si="185"/>
        <v>4.9407953105277107E-3</v>
      </c>
      <c r="CK35" s="23">
        <f t="shared" si="186"/>
        <v>0.10741630409028839</v>
      </c>
      <c r="CL35" s="23">
        <f t="shared" si="187"/>
        <v>0</v>
      </c>
      <c r="CM35" s="23">
        <f t="shared" si="188"/>
        <v>5.873229972571696E-2</v>
      </c>
      <c r="CN35" s="23">
        <f t="shared" si="189"/>
        <v>1.3855766672316396E-3</v>
      </c>
      <c r="CO35" s="23">
        <f t="shared" si="190"/>
        <v>6.3504588724891814E-2</v>
      </c>
      <c r="CP35" s="23">
        <f t="shared" si="191"/>
        <v>9.1760969964612929E-2</v>
      </c>
      <c r="CQ35" s="23">
        <f t="shared" si="192"/>
        <v>2.9174042726445814E-2</v>
      </c>
      <c r="CR35" s="23">
        <f t="shared" si="193"/>
        <v>1.5315134084657434E-3</v>
      </c>
      <c r="CS35" s="23">
        <f t="shared" si="194"/>
        <v>8.8302106215125192E-4</v>
      </c>
      <c r="CT35" s="23">
        <f t="shared" si="195"/>
        <v>0.14889780726631854</v>
      </c>
      <c r="CU35" s="22">
        <f t="shared" si="196"/>
        <v>0.99999999999999967</v>
      </c>
      <c r="CV35" s="22">
        <f t="shared" si="58"/>
        <v>0.85110219273368115</v>
      </c>
      <c r="CX35">
        <f t="shared" si="59"/>
        <v>0.49668676646875715</v>
      </c>
      <c r="CY35">
        <f t="shared" si="60"/>
        <v>4.9901626199498851E-3</v>
      </c>
      <c r="CZ35">
        <f t="shared" si="61"/>
        <v>0.21697916701887249</v>
      </c>
      <c r="DA35">
        <f t="shared" si="62"/>
        <v>0</v>
      </c>
      <c r="DB35">
        <f t="shared" si="63"/>
        <v>5.9319139582745088E-2</v>
      </c>
      <c r="DC35">
        <f t="shared" si="64"/>
        <v>1.3994210359537399E-3</v>
      </c>
      <c r="DD35">
        <f t="shared" si="65"/>
        <v>6.413911221438541E-2</v>
      </c>
      <c r="DE35">
        <f t="shared" si="66"/>
        <v>9.2677824825503338E-2</v>
      </c>
      <c r="DF35">
        <f t="shared" si="67"/>
        <v>5.893108632779262E-2</v>
      </c>
      <c r="DG35">
        <f t="shared" si="68"/>
        <v>3.0936318882076987E-3</v>
      </c>
      <c r="DH35">
        <f t="shared" si="69"/>
        <v>1.7836880178324918E-3</v>
      </c>
      <c r="DI35" s="22">
        <f t="shared" si="197"/>
        <v>0.99999999999999967</v>
      </c>
      <c r="DJ35" s="22">
        <f t="shared" si="71"/>
        <v>0.68287389551014166</v>
      </c>
      <c r="DK35" s="22">
        <f t="shared" si="72"/>
        <v>2.5288311792365434E-2</v>
      </c>
      <c r="DL35" s="22">
        <f t="shared" si="73"/>
        <v>0.14123047047400478</v>
      </c>
      <c r="DM35" s="22">
        <f t="shared" si="74"/>
        <v>0</v>
      </c>
      <c r="DN35" s="22">
        <f t="shared" si="75"/>
        <v>9.3247678380545165E-2</v>
      </c>
      <c r="DO35" s="22">
        <f t="shared" si="76"/>
        <v>2.2555066079295153E-3</v>
      </c>
      <c r="DP35" s="22">
        <f t="shared" si="77"/>
        <v>0.37415269796846001</v>
      </c>
      <c r="DQ35" s="22">
        <f t="shared" si="78"/>
        <v>0.20329045212509855</v>
      </c>
      <c r="DR35" s="22">
        <f t="shared" si="79"/>
        <v>3.8722855681530326E-2</v>
      </c>
      <c r="DS35" s="22">
        <f t="shared" si="80"/>
        <v>2.229394029470466E-3</v>
      </c>
      <c r="DT35" s="22">
        <f t="shared" si="198"/>
        <v>1.5632912625695456</v>
      </c>
      <c r="DU35" s="22">
        <f t="shared" si="82"/>
        <v>0.68287389551014166</v>
      </c>
      <c r="DV35" s="22">
        <f t="shared" si="83"/>
        <v>2.5288311792365434E-2</v>
      </c>
      <c r="DW35" s="22">
        <f t="shared" si="84"/>
        <v>0.28246094094800955</v>
      </c>
      <c r="DX35" s="22">
        <f t="shared" si="85"/>
        <v>0</v>
      </c>
      <c r="DZ35" s="22">
        <f t="shared" si="86"/>
        <v>9.3247678380545165E-2</v>
      </c>
      <c r="EA35" s="22">
        <f t="shared" si="87"/>
        <v>2.2555066079295153E-3</v>
      </c>
      <c r="EB35" s="22">
        <f t="shared" si="88"/>
        <v>0.37415269796846001</v>
      </c>
      <c r="EC35" s="22">
        <f t="shared" si="89"/>
        <v>0.20329045212509855</v>
      </c>
      <c r="ED35" s="22">
        <f t="shared" si="90"/>
        <v>7.7445711363060651E-2</v>
      </c>
      <c r="EE35" s="22">
        <f t="shared" si="91"/>
        <v>4.458788058940932E-3</v>
      </c>
      <c r="EG35" s="22">
        <f t="shared" si="199"/>
        <v>1.3657477910202833</v>
      </c>
      <c r="EH35" s="22">
        <f t="shared" si="200"/>
        <v>5.0576623584730869E-2</v>
      </c>
      <c r="EI35" s="22">
        <f t="shared" si="201"/>
        <v>0.42369141142201433</v>
      </c>
      <c r="EJ35" s="22">
        <f t="shared" si="202"/>
        <v>0</v>
      </c>
      <c r="EL35" s="22">
        <f t="shared" si="203"/>
        <v>9.3247678380545165E-2</v>
      </c>
      <c r="EM35" s="22">
        <f t="shared" si="204"/>
        <v>2.2555066079295153E-3</v>
      </c>
      <c r="EN35" s="22">
        <f t="shared" si="205"/>
        <v>0.37415269796846001</v>
      </c>
      <c r="EO35" s="22">
        <f t="shared" si="206"/>
        <v>0.20329045212509855</v>
      </c>
      <c r="EP35" s="22">
        <f t="shared" si="207"/>
        <v>3.8722855681530326E-2</v>
      </c>
      <c r="EQ35" s="22">
        <f t="shared" si="208"/>
        <v>2.229394029470466E-3</v>
      </c>
      <c r="ER35" s="22">
        <f t="shared" si="209"/>
        <v>2.5539144108200631</v>
      </c>
      <c r="ES35" s="22">
        <f t="shared" si="210"/>
        <v>9.0057833976568897</v>
      </c>
      <c r="EU35" s="86">
        <f t="shared" si="211"/>
        <v>6.1498143908785199</v>
      </c>
      <c r="EV35" s="86">
        <f t="shared" si="212"/>
        <v>0.22774105849445558</v>
      </c>
      <c r="EW35" s="86">
        <f t="shared" si="213"/>
        <v>2.5437820524761277</v>
      </c>
      <c r="EX35" s="86">
        <f t="shared" si="214"/>
        <v>0</v>
      </c>
      <c r="EY35" s="86"/>
      <c r="EZ35" s="86">
        <f t="shared" si="215"/>
        <v>0.83976839382956292</v>
      </c>
      <c r="FA35" s="86">
        <f t="shared" si="216"/>
        <v>2.0312603962997038E-2</v>
      </c>
      <c r="FB35" s="86">
        <f t="shared" si="217"/>
        <v>3.36953815555289</v>
      </c>
      <c r="FC35" s="86">
        <f t="shared" si="218"/>
        <v>1.8307897786503753</v>
      </c>
      <c r="FD35" s="86">
        <f t="shared" si="219"/>
        <v>0.69745930161317915</v>
      </c>
      <c r="FE35" s="86">
        <f t="shared" si="220"/>
        <v>4.0154879474881035E-2</v>
      </c>
      <c r="FF35" s="22">
        <f t="shared" si="221"/>
        <v>14.981746433844927</v>
      </c>
      <c r="FG35" s="22">
        <f t="shared" si="222"/>
        <v>15.719360614932988</v>
      </c>
      <c r="FH35" s="22">
        <f t="shared" si="223"/>
        <v>13.150956655194552</v>
      </c>
      <c r="FI35" s="22" t="str">
        <f t="shared" si="224"/>
        <v>Good</v>
      </c>
      <c r="FJ35" s="22">
        <f t="shared" si="225"/>
        <v>51.931807689366991</v>
      </c>
      <c r="FK35" s="22">
        <f t="shared" si="158"/>
        <v>0.80049721160062215</v>
      </c>
      <c r="FL35" s="22">
        <f t="shared" si="226"/>
        <v>0.29929188510647414</v>
      </c>
      <c r="FM35" s="87"/>
      <c r="FN35" s="87">
        <f t="shared" si="120"/>
        <v>-10.653384523877833</v>
      </c>
      <c r="FO35" s="22">
        <f t="shared" si="121"/>
        <v>7.7870460708415606E-2</v>
      </c>
      <c r="FP35" s="88">
        <f t="shared" si="227"/>
        <v>5.6581151107558188E-2</v>
      </c>
      <c r="FQ35" s="88">
        <f t="shared" si="228"/>
        <v>0.78318724272200468</v>
      </c>
      <c r="FR35" s="87">
        <f t="shared" si="229"/>
        <v>6.1498143908785199</v>
      </c>
      <c r="FS35" s="87">
        <f t="shared" si="230"/>
        <v>1.8501856091214801</v>
      </c>
      <c r="FT35" s="87">
        <f t="shared" si="231"/>
        <v>0</v>
      </c>
      <c r="FU35" s="86">
        <f t="shared" si="232"/>
        <v>8</v>
      </c>
      <c r="FV35" s="87">
        <f t="shared" si="233"/>
        <v>0.69359644335464754</v>
      </c>
      <c r="FW35" s="87">
        <f t="shared" si="234"/>
        <v>0</v>
      </c>
      <c r="FX35" s="87">
        <f t="shared" si="235"/>
        <v>5.6581151107558188E-2</v>
      </c>
      <c r="FY35" s="87">
        <f t="shared" si="236"/>
        <v>0.22774105849445558</v>
      </c>
      <c r="FZ35" s="87">
        <f t="shared" si="237"/>
        <v>0.97791865295666136</v>
      </c>
      <c r="GA35" s="87">
        <f t="shared" si="238"/>
        <v>3.36953815555289</v>
      </c>
      <c r="GB35" s="87">
        <f t="shared" si="239"/>
        <v>4.3474568085095511</v>
      </c>
      <c r="GC35" s="87">
        <f t="shared" si="240"/>
        <v>0.65254319149044893</v>
      </c>
      <c r="GD35" s="87">
        <f t="shared" si="241"/>
        <v>5</v>
      </c>
      <c r="GE35" s="87">
        <f t="shared" si="242"/>
        <v>0</v>
      </c>
      <c r="GF35" s="87">
        <f t="shared" si="243"/>
        <v>5</v>
      </c>
      <c r="GG35" s="86">
        <f t="shared" si="244"/>
        <v>0</v>
      </c>
      <c r="GH35" s="86">
        <f t="shared" si="245"/>
        <v>0.13064405123155576</v>
      </c>
      <c r="GI35" s="86">
        <f t="shared" si="246"/>
        <v>2.0312603962997038E-2</v>
      </c>
      <c r="GJ35" s="89">
        <f t="shared" si="247"/>
        <v>0.15095665519455279</v>
      </c>
      <c r="GK35" s="89">
        <f t="shared" si="248"/>
        <v>0.15095665519455279</v>
      </c>
      <c r="GL35" s="87">
        <f t="shared" si="249"/>
        <v>1.8307897786503753</v>
      </c>
      <c r="GM35" s="87">
        <f t="shared" si="250"/>
        <v>1.825356615507201E-2</v>
      </c>
      <c r="GN35" s="89">
        <f t="shared" si="251"/>
        <v>2</v>
      </c>
      <c r="GO35" s="87"/>
      <c r="GP35" s="86" t="str">
        <f t="shared" si="252"/>
        <v>CALCIC</v>
      </c>
      <c r="GQ35" s="87"/>
      <c r="GR35" s="87">
        <f t="shared" si="253"/>
        <v>0.67920573545810714</v>
      </c>
      <c r="GS35" s="87">
        <f t="shared" si="254"/>
        <v>4.0154879474881035E-2</v>
      </c>
      <c r="GT35" s="87">
        <f t="shared" si="255"/>
        <v>0.7193606149329882</v>
      </c>
      <c r="GU35" s="86">
        <f t="shared" si="256"/>
        <v>0</v>
      </c>
      <c r="GV35" s="86">
        <f t="shared" si="257"/>
        <v>0.69745930161317915</v>
      </c>
    </row>
    <row r="36" spans="1:204" s="22" customFormat="1" ht="18" customHeight="1" x14ac:dyDescent="0.35">
      <c r="A36" s="97" t="s">
        <v>165</v>
      </c>
      <c r="B36" s="97" t="s">
        <v>166</v>
      </c>
      <c r="C36" s="36">
        <f t="shared" si="0"/>
        <v>786.71473777603148</v>
      </c>
      <c r="D36" s="36">
        <f>AI36</f>
        <v>-0.55037607793421728</v>
      </c>
      <c r="F36" s="96">
        <v>67.547133992151373</v>
      </c>
      <c r="G36" s="96">
        <v>0.33314463150344531</v>
      </c>
      <c r="H36" s="96">
        <v>14.274110022617085</v>
      </c>
      <c r="I36" s="96">
        <v>3.0223531467995195</v>
      </c>
      <c r="J36" s="96">
        <v>9.2322981307229587E-2</v>
      </c>
      <c r="K36" s="96">
        <v>1.4728624645766162</v>
      </c>
      <c r="L36" s="96">
        <v>3.9694072722900584</v>
      </c>
      <c r="M36" s="96">
        <v>3.9160621121566228</v>
      </c>
      <c r="N36" s="96">
        <v>1.3467417930714207</v>
      </c>
      <c r="O36" s="96">
        <v>0</v>
      </c>
      <c r="P36" s="96">
        <v>9.0793256339932196E-2</v>
      </c>
      <c r="Q36" s="95">
        <v>5</v>
      </c>
      <c r="S36" s="99">
        <v>51.97</v>
      </c>
      <c r="T36" s="99">
        <v>0.26</v>
      </c>
      <c r="U36" s="99">
        <v>3.14</v>
      </c>
      <c r="V36" s="99">
        <v>15.180999999999999</v>
      </c>
      <c r="W36" s="98">
        <v>0.43</v>
      </c>
      <c r="X36" s="99">
        <v>27.43</v>
      </c>
      <c r="Y36" s="99">
        <v>1.53</v>
      </c>
      <c r="Z36" s="98">
        <v>0.01</v>
      </c>
      <c r="AA36" s="98">
        <v>0.01</v>
      </c>
      <c r="AB36" s="98"/>
      <c r="AD36" s="35">
        <f t="shared" si="1"/>
        <v>3.2491850943560698</v>
      </c>
      <c r="AE36" s="36"/>
      <c r="AF36" s="50">
        <f t="shared" si="2"/>
        <v>0.26970659056129564</v>
      </c>
      <c r="AG36" s="35">
        <f t="shared" si="3"/>
        <v>70.611503670573256</v>
      </c>
      <c r="AH36" s="35">
        <f t="shared" si="4"/>
        <v>0.6</v>
      </c>
      <c r="AI36" s="35">
        <f t="shared" si="5"/>
        <v>-0.55037607793421728</v>
      </c>
      <c r="AJ36" s="35">
        <f t="shared" si="6"/>
        <v>-3.8481459523559458</v>
      </c>
      <c r="AK36" s="36"/>
      <c r="AL36" s="37">
        <f>1781-132.74*EU36+116.6*EV36-69.41*EZ36+101.62*FD36</f>
        <v>703.2046360051163</v>
      </c>
      <c r="AM36" s="37">
        <f t="shared" si="8"/>
        <v>708.79635918892313</v>
      </c>
      <c r="AN36" s="37">
        <f>2061-178.4*EU36</f>
        <v>772.43632721179938</v>
      </c>
      <c r="AO36" s="37">
        <f>(24429.2)/(2.31+42.1*CM36+32.2*CP36+2.21*LN(CI36)-1.4*LN(CJ36)-2.666*LN((CM36+CO36)*CK36))</f>
        <v>900.16398407910992</v>
      </c>
      <c r="AP36" s="37">
        <f t="shared" si="10"/>
        <v>603.21040166281875</v>
      </c>
      <c r="AQ36" s="37">
        <f t="shared" si="11"/>
        <v>779.04271730500454</v>
      </c>
      <c r="AR36" s="37">
        <f t="shared" si="12"/>
        <v>916.24736314792324</v>
      </c>
      <c r="AS36" s="37">
        <f t="shared" si="13"/>
        <v>910.61611360755603</v>
      </c>
      <c r="AT36"/>
      <c r="AU36" s="35">
        <f t="shared" si="154"/>
        <v>0.93346075203758316</v>
      </c>
      <c r="AV36"/>
      <c r="AW36" s="37">
        <f>(71975-11896*LN(FL36))/(8.3144*LN(FJ36)+58)</f>
        <v>882.66842201359952</v>
      </c>
      <c r="AX36" s="37">
        <f>107*LN(DD36)-108*LN(FL36)+1184</f>
        <v>945.02859601852788</v>
      </c>
      <c r="AY36" s="38"/>
      <c r="AZ36" s="50">
        <f t="shared" si="16"/>
        <v>1.067398396982072</v>
      </c>
      <c r="BA36" s="38"/>
      <c r="BB36" s="35">
        <f>10*(EXP(125.93-9.5876*EU36*13/FH36-10.116*EV36*13/FH36-8.1735*EW36*13/FH36-9.2261*EZ36*13/FH36-8.7934*FB36*13/FH36-1.6659*FC36+2.4835*FD36+2.5192*FE36))/1000</f>
        <v>5.6182029030571972</v>
      </c>
      <c r="BC36" s="35">
        <f>10*(EXP(38.723-2.6957*EU36*13/FH36-2.3565*EV36*13/FH36-1.3006*EW36*13/FH36-2.778*EZ36*13/FH36-2.4838*FB36*13/FH36-0.6614*FC36-0.2705*FD36+0.1117*FE36))/1000</f>
        <v>1.7503298808152541</v>
      </c>
      <c r="BD36" s="35">
        <f>10*(24023-1925.3*EU36*13/FH36-1720.6*EV36*13/FH36-1478.5*EW36*13/FH36-1843.2*EZ36*13/FH36-1746.9*FB36*13/FH36-158.28*FC36-40.444*FD36+253.52*FE36)/1000</f>
        <v>2.2882347375097805</v>
      </c>
      <c r="BE36" s="35">
        <f>10*(26106-1991.9*EU36*13/FH36-3035*EV36*13/FH36-1472.2*EW36*13/FH36-2454.8*EZ36*13/FH36-2125.8*FB36*13/FH36-830.64*FC36+2708.8*FD36+2204.1*FE36)/1000</f>
        <v>-10.211918070573704</v>
      </c>
      <c r="BF36" s="35">
        <f>10*EXP(26.543-1.2085*EU36*13/FH36-3.8593*EV36*13/FH36-1.1054*EW36*13/FH36-2.9068*EZ36*13/FH36-2.6483*FB36*13/FH36+0.5134*FC36+2.9752*FD36+1.8147*FE36)/1000</f>
        <v>4.3695649503425013E-2</v>
      </c>
      <c r="BG36" s="35">
        <f>10*(19.209*EXP(1.438*EW36*13/FF36))/1000</f>
        <v>0.35733109778631017</v>
      </c>
      <c r="BH36" s="36"/>
      <c r="BI36" s="50">
        <f>EZ36/(EZ36+FB36)</f>
        <v>0.23691599047027814</v>
      </c>
      <c r="BJ36" s="50" t="str">
        <f t="shared" si="23"/>
        <v>YES</v>
      </c>
      <c r="BK36" s="35">
        <f>(-3.92+5.03*EW36)</f>
        <v>-1.3329020900022526</v>
      </c>
      <c r="BL36" s="35">
        <f>1.27*(EW36^2.01)</f>
        <v>0.3337382081518066</v>
      </c>
      <c r="BM36" s="35">
        <f>0.26*EXP(1.48*EW36)</f>
        <v>0.55662698522775911</v>
      </c>
      <c r="BN36" s="35">
        <f>(-4.76+5.64*EW36)</f>
        <v>-1.859158605887218</v>
      </c>
      <c r="BO36" s="35">
        <f>(-3.46+4.23*EW36)</f>
        <v>-1.2843689544154131</v>
      </c>
      <c r="BP36" s="35">
        <f t="shared" si="29"/>
        <v>-1.6973388231844568</v>
      </c>
      <c r="BQ36" s="35">
        <f>(5.03*EW36-3.53)</f>
        <v>-0.94290209000225245</v>
      </c>
      <c r="BR36" s="35">
        <f>(-3.01+4.76*EW36)</f>
        <v>-0.56177215674169423</v>
      </c>
      <c r="BS36" s="23"/>
      <c r="BT36" s="23">
        <f t="shared" si="32"/>
        <v>1.1242060570257351</v>
      </c>
      <c r="BU36" s="23">
        <f t="shared" si="33"/>
        <v>4.1706263927781253E-3</v>
      </c>
      <c r="BV36" s="23">
        <f t="shared" si="34"/>
        <v>0.13999578292304984</v>
      </c>
      <c r="BW36" s="23">
        <f t="shared" si="35"/>
        <v>0</v>
      </c>
      <c r="BX36" s="23">
        <f t="shared" si="36"/>
        <v>4.2066869694229903E-2</v>
      </c>
      <c r="BY36" s="23">
        <f t="shared" si="37"/>
        <v>1.3014693400138092E-3</v>
      </c>
      <c r="BZ36" s="23">
        <f t="shared" si="38"/>
        <v>3.6543465839377738E-2</v>
      </c>
      <c r="CA36" s="23">
        <f t="shared" si="39"/>
        <v>7.0784438513377207E-2</v>
      </c>
      <c r="CB36" s="23">
        <f t="shared" si="40"/>
        <v>6.318379500372906E-2</v>
      </c>
      <c r="CC36" s="23">
        <f t="shared" si="41"/>
        <v>1.4297229108151309E-2</v>
      </c>
      <c r="CD36" s="23">
        <f t="shared" si="42"/>
        <v>6.3967292770688536E-4</v>
      </c>
      <c r="CE36" s="23">
        <f t="shared" si="43"/>
        <v>0.27756374528974326</v>
      </c>
      <c r="CF36" s="22">
        <f>SUM(BT36:CE36)</f>
        <v>1.7747531520578921</v>
      </c>
      <c r="CG36" s="22">
        <f>BT36+BU36+BX36+BY36+BZ36+CA36+2*(BV36+BW36+CB36+CC36+CD36)</f>
        <v>1.715305886730786</v>
      </c>
      <c r="CH36" s="22">
        <f>SUM(BT36:CD36)</f>
        <v>1.4971894067681488</v>
      </c>
      <c r="CI36" s="23">
        <f t="shared" ref="CI36:CT36" si="258">BT36/$CF36</f>
        <v>0.6334436176220769</v>
      </c>
      <c r="CJ36" s="23">
        <f t="shared" si="258"/>
        <v>2.3499754813463098E-3</v>
      </c>
      <c r="CK36" s="23">
        <f t="shared" si="258"/>
        <v>7.8881833657102982E-2</v>
      </c>
      <c r="CL36" s="23">
        <f t="shared" si="258"/>
        <v>0</v>
      </c>
      <c r="CM36" s="23">
        <f t="shared" si="258"/>
        <v>2.3702941248731863E-2</v>
      </c>
      <c r="CN36" s="23">
        <f t="shared" si="258"/>
        <v>7.3332414623673565E-4</v>
      </c>
      <c r="CO36" s="23">
        <f t="shared" si="258"/>
        <v>2.0590731616396473E-2</v>
      </c>
      <c r="CP36" s="23">
        <f t="shared" si="258"/>
        <v>3.9884103561839024E-2</v>
      </c>
      <c r="CQ36" s="23">
        <f t="shared" si="258"/>
        <v>3.5601455295608354E-2</v>
      </c>
      <c r="CR36" s="23">
        <f t="shared" si="258"/>
        <v>8.0558972900389783E-3</v>
      </c>
      <c r="CS36" s="23">
        <f t="shared" si="258"/>
        <v>3.6042923882972732E-4</v>
      </c>
      <c r="CT36" s="23">
        <f t="shared" si="258"/>
        <v>0.15639569084179272</v>
      </c>
      <c r="CU36" s="22">
        <f>SUM(CI36:CT36)</f>
        <v>1</v>
      </c>
      <c r="CV36" s="22">
        <f t="shared" si="58"/>
        <v>0.84360430915820728</v>
      </c>
      <c r="CX36">
        <f t="shared" si="59"/>
        <v>0.65539683955050587</v>
      </c>
      <c r="CY36">
        <f t="shared" si="60"/>
        <v>2.4314184572216168E-3</v>
      </c>
      <c r="CZ36">
        <f t="shared" si="61"/>
        <v>0.16323127438205068</v>
      </c>
      <c r="DA36">
        <f t="shared" si="62"/>
        <v>0</v>
      </c>
      <c r="DB36">
        <f t="shared" si="63"/>
        <v>2.4524412829017603E-2</v>
      </c>
      <c r="DC36">
        <f t="shared" si="64"/>
        <v>7.5873892235879233E-4</v>
      </c>
      <c r="DD36">
        <f t="shared" si="65"/>
        <v>2.1304343512180322E-2</v>
      </c>
      <c r="DE36">
        <f t="shared" si="66"/>
        <v>4.1266364827958348E-2</v>
      </c>
      <c r="DF36">
        <f t="shared" si="67"/>
        <v>7.3670586094881904E-2</v>
      </c>
      <c r="DG36">
        <f t="shared" si="68"/>
        <v>1.6670180192059507E-2</v>
      </c>
      <c r="DH36">
        <f t="shared" si="69"/>
        <v>7.4584123176542306E-4</v>
      </c>
      <c r="DI36" s="22">
        <f>SUM(CX36:DH36)</f>
        <v>1</v>
      </c>
      <c r="DJ36" s="22">
        <f t="shared" si="71"/>
        <v>0.86495140993570696</v>
      </c>
      <c r="DK36" s="22">
        <f t="shared" si="72"/>
        <v>3.2549312207995115E-3</v>
      </c>
      <c r="DL36" s="22">
        <f t="shared" si="73"/>
        <v>3.0796088700581595E-2</v>
      </c>
      <c r="DM36" s="22">
        <f t="shared" si="74"/>
        <v>0</v>
      </c>
      <c r="DN36" s="22">
        <f t="shared" si="75"/>
        <v>0.21129799127026544</v>
      </c>
      <c r="DO36" s="22">
        <f t="shared" si="76"/>
        <v>6.0616740088105725E-3</v>
      </c>
      <c r="DP36" s="22">
        <f t="shared" si="77"/>
        <v>0.68057085578745746</v>
      </c>
      <c r="DQ36" s="22">
        <f t="shared" si="78"/>
        <v>2.7283718574684278E-2</v>
      </c>
      <c r="DR36" s="22">
        <f t="shared" si="79"/>
        <v>1.6134523200637637E-4</v>
      </c>
      <c r="DS36" s="22">
        <f t="shared" si="80"/>
        <v>1.0616162045097456E-4</v>
      </c>
      <c r="DT36" s="22">
        <f>SUM(DJ36:DS36)</f>
        <v>1.8244841763507633</v>
      </c>
      <c r="DU36" s="22">
        <f t="shared" si="82"/>
        <v>0.86495140993570696</v>
      </c>
      <c r="DV36" s="22">
        <f t="shared" si="83"/>
        <v>3.2549312207995115E-3</v>
      </c>
      <c r="DW36" s="22">
        <f t="shared" si="84"/>
        <v>6.1592177401163191E-2</v>
      </c>
      <c r="DX36" s="22">
        <f t="shared" si="85"/>
        <v>0</v>
      </c>
      <c r="DZ36" s="22">
        <f t="shared" si="86"/>
        <v>0.21129799127026544</v>
      </c>
      <c r="EA36" s="22">
        <f t="shared" si="87"/>
        <v>6.0616740088105725E-3</v>
      </c>
      <c r="EB36" s="22">
        <f t="shared" si="88"/>
        <v>0.68057085578745746</v>
      </c>
      <c r="EC36" s="22">
        <f t="shared" si="89"/>
        <v>2.7283718574684278E-2</v>
      </c>
      <c r="ED36" s="22">
        <f t="shared" si="90"/>
        <v>3.2269046401275274E-4</v>
      </c>
      <c r="EE36" s="22">
        <f t="shared" si="91"/>
        <v>2.1232324090194913E-4</v>
      </c>
      <c r="EG36" s="22">
        <f>DJ36*2</f>
        <v>1.7299028198714139</v>
      </c>
      <c r="EH36" s="22">
        <f>DK36*2</f>
        <v>6.5098624415990229E-3</v>
      </c>
      <c r="EI36" s="22">
        <f>DL36*3</f>
        <v>9.238826610174479E-2</v>
      </c>
      <c r="EJ36" s="22">
        <f>DM36*3</f>
        <v>0</v>
      </c>
      <c r="EL36" s="22">
        <f t="shared" ref="EL36:EQ36" si="259">DN36</f>
        <v>0.21129799127026544</v>
      </c>
      <c r="EM36" s="22">
        <f t="shared" si="259"/>
        <v>6.0616740088105725E-3</v>
      </c>
      <c r="EN36" s="22">
        <f t="shared" si="259"/>
        <v>0.68057085578745746</v>
      </c>
      <c r="EO36" s="22">
        <f t="shared" si="259"/>
        <v>2.7283718574684278E-2</v>
      </c>
      <c r="EP36" s="22">
        <f t="shared" si="259"/>
        <v>1.6134523200637637E-4</v>
      </c>
      <c r="EQ36" s="22">
        <f t="shared" si="259"/>
        <v>1.0616162045097456E-4</v>
      </c>
      <c r="ER36" s="22">
        <f>SUM(EG36:EQ36)</f>
        <v>2.7542826949084329</v>
      </c>
      <c r="ES36" s="22">
        <f>23/ER36</f>
        <v>8.3506315609932855</v>
      </c>
      <c r="EU36" s="86">
        <f>DU36*$ES36</f>
        <v>7.2228905425347563</v>
      </c>
      <c r="EV36" s="86">
        <f>DV36*$ES36</f>
        <v>2.7180731381270806E-2</v>
      </c>
      <c r="EW36" s="86">
        <f>DW36*$ES36</f>
        <v>0.51433358051645073</v>
      </c>
      <c r="EX36" s="86">
        <f>DX36*$ES36</f>
        <v>0</v>
      </c>
      <c r="EY36" s="86"/>
      <c r="EZ36" s="86">
        <f t="shared" ref="EZ36:FE36" si="260">DZ36*$ES36</f>
        <v>1.7644716746759623</v>
      </c>
      <c r="FA36" s="86">
        <f t="shared" si="260"/>
        <v>5.0618806290426255E-2</v>
      </c>
      <c r="FB36" s="86">
        <f t="shared" si="260"/>
        <v>5.6831964678309523</v>
      </c>
      <c r="FC36" s="86">
        <f t="shared" si="260"/>
        <v>0.22783628143101728</v>
      </c>
      <c r="FD36" s="86">
        <f t="shared" si="260"/>
        <v>2.6946691732164609E-3</v>
      </c>
      <c r="FE36" s="86">
        <f t="shared" si="260"/>
        <v>1.7730331566081969E-3</v>
      </c>
      <c r="FF36" s="22">
        <f>SUM(EU36:FC36)</f>
        <v>15.490528084660834</v>
      </c>
      <c r="FG36" s="22">
        <f>SUM(EU36:FE36)</f>
        <v>15.494995786990659</v>
      </c>
      <c r="FH36" s="22">
        <f>SUM(EU36:FB36)</f>
        <v>15.262691803229817</v>
      </c>
      <c r="FI36" s="22" t="str">
        <f>IF(OR(FG36&gt;16,FG36&lt;15),"BAD","Good")</f>
        <v>Good</v>
      </c>
      <c r="FJ36" s="22">
        <f>(FB36*13/(EU36+EV36+EW36+EZ36+FA36+FB36))/(DD36)</f>
        <v>227.21486015148938</v>
      </c>
      <c r="FK36" s="22">
        <f t="shared" si="158"/>
        <v>0.76308400952972189</v>
      </c>
      <c r="FL36" s="22">
        <f>DE36/(DE36+CZ36)</f>
        <v>0.20179384460071845</v>
      </c>
      <c r="FM36" s="87"/>
      <c r="FN36" s="87">
        <f t="shared" si="120"/>
        <v>-16.877488231066902</v>
      </c>
      <c r="FO36" s="22">
        <f t="shared" si="121"/>
        <v>7.8022800911545856E-2</v>
      </c>
      <c r="FP36" s="88">
        <f>(EZ36)*FO36/(1+2*FO36)</f>
        <v>0.11908615193916185</v>
      </c>
      <c r="FQ36" s="88">
        <f>(EZ36)-FP36</f>
        <v>1.6453855227368004</v>
      </c>
      <c r="FR36" s="87">
        <f>EU36</f>
        <v>7.2228905425347563</v>
      </c>
      <c r="FS36" s="87">
        <f>IF(EU36+EW36&gt;8,8-EU36,EW36)</f>
        <v>0.51433358051645073</v>
      </c>
      <c r="FT36" s="87">
        <f>IF(FS36+FR36=8,0,IF(8&lt;FS36+FR36+EV36,EV36,8-FR36-FS36))</f>
        <v>0.26277587694879301</v>
      </c>
      <c r="FU36" s="86">
        <f>FS36+FR36+FT36</f>
        <v>8</v>
      </c>
      <c r="FV36" s="87">
        <f>IF(EW36-FS36&lt;0,0,EW36-FS36)</f>
        <v>0</v>
      </c>
      <c r="FW36" s="87">
        <f>EX36</f>
        <v>0</v>
      </c>
      <c r="FX36" s="87">
        <f>FP36</f>
        <v>0.11908615193916185</v>
      </c>
      <c r="FY36" s="87">
        <f>EV36-FT36</f>
        <v>-0.2355951455675222</v>
      </c>
      <c r="FZ36" s="87">
        <f>SUM(FV36:FY36)</f>
        <v>-0.11650899362836035</v>
      </c>
      <c r="GA36" s="87">
        <f>IF(FZ36&gt;5,0,IF(FZ36+FB36&lt;5,FB36,5-FZ36))</f>
        <v>5.1165089936283605</v>
      </c>
      <c r="GB36" s="87">
        <f>GA36+FZ36</f>
        <v>5</v>
      </c>
      <c r="GC36" s="87">
        <f>IF(GB36&gt;5,0,IF(GB36+FQ36&lt;5,FQ36,5-GB36))</f>
        <v>0</v>
      </c>
      <c r="GD36" s="87">
        <f>GC36+GB36</f>
        <v>5</v>
      </c>
      <c r="GE36" s="87">
        <f>IF(GD36=5,0,IF(GD36+FA36&lt;5,FA36,5-GD36))</f>
        <v>0</v>
      </c>
      <c r="GF36" s="87">
        <f>GE36+GD36</f>
        <v>5</v>
      </c>
      <c r="GG36" s="86">
        <f>FB36-GA36</f>
        <v>0.5666874742025918</v>
      </c>
      <c r="GH36" s="86">
        <f>FQ36-GC36</f>
        <v>1.6453855227368004</v>
      </c>
      <c r="GI36" s="86">
        <f>FA36-GE36</f>
        <v>5.0618806290426255E-2</v>
      </c>
      <c r="GJ36" s="89">
        <f>SUM(GG36:GI36)</f>
        <v>2.2626918032298189</v>
      </c>
      <c r="GK36" s="89">
        <f>GJ36</f>
        <v>2.2626918032298189</v>
      </c>
      <c r="GL36" s="87">
        <f>IF(FC36&gt;2-GK36,2-GK36,FC36)</f>
        <v>-0.26269180322981889</v>
      </c>
      <c r="GM36" s="87">
        <f>IF(GL36+GK36+FD36&lt;2,FD36,2-GK36-GL36)</f>
        <v>0</v>
      </c>
      <c r="GN36" s="89">
        <f>GL36+GK36+GM36</f>
        <v>2</v>
      </c>
      <c r="GO36" s="87"/>
      <c r="GP36" s="86" t="str">
        <f>IF(GL36&lt;1,"Mg-Fe-Li grpup",IF(AND(GL36+GM36&gt;=1,GM36&lt;0.5),"CALCIC",IF(AND(GL36+GM36&gt;=1,GM36&gt;0.5),"SODIC-CALCIC")))</f>
        <v>Mg-Fe-Li grpup</v>
      </c>
      <c r="GQ36" s="87"/>
      <c r="GR36" s="87">
        <f>IF(FD36-GM36&gt;0,FD36-GM36,0)</f>
        <v>2.6946691732164609E-3</v>
      </c>
      <c r="GS36" s="87">
        <f>FE36</f>
        <v>1.7730331566081969E-3</v>
      </c>
      <c r="GT36" s="87">
        <f>GS36+GR36</f>
        <v>4.4677023298246576E-3</v>
      </c>
      <c r="GU36" s="86">
        <f>IF(2-FC36-EZ36&lt;=0.1,0,2-FC36-EZ36)</f>
        <v>0</v>
      </c>
      <c r="GV36" s="86">
        <f>FD36-GU36</f>
        <v>2.6946691732164609E-3</v>
      </c>
    </row>
    <row r="37" spans="1:204" ht="18" customHeight="1" x14ac:dyDescent="0.25"/>
    <row r="38" spans="1:204" ht="18" customHeight="1" x14ac:dyDescent="0.25"/>
    <row r="39" spans="1:204" ht="18" customHeight="1" x14ac:dyDescent="0.25"/>
    <row r="40" spans="1:204" ht="18" customHeight="1" x14ac:dyDescent="0.25"/>
    <row r="41" spans="1:204" ht="18" customHeight="1" x14ac:dyDescent="0.25"/>
    <row r="42" spans="1:204" ht="18" customHeight="1" x14ac:dyDescent="0.25"/>
    <row r="43" spans="1:204" ht="18" customHeight="1" x14ac:dyDescent="0.25"/>
    <row r="44" spans="1:204" ht="18" customHeight="1" x14ac:dyDescent="0.25"/>
    <row r="45" spans="1:204" ht="18" customHeight="1" x14ac:dyDescent="0.25"/>
    <row r="46" spans="1:204" ht="18" customHeight="1" x14ac:dyDescent="0.25"/>
    <row r="47" spans="1:204" ht="18" customHeight="1" x14ac:dyDescent="0.25"/>
    <row r="48" spans="1:204" ht="18" customHeight="1" x14ac:dyDescent="0.25"/>
    <row r="49" ht="18" customHeight="1" x14ac:dyDescent="0.25"/>
    <row r="50" ht="18" customHeight="1" x14ac:dyDescent="0.25"/>
    <row r="51" ht="18" customHeight="1" x14ac:dyDescent="0.25"/>
    <row r="52" ht="18" customHeight="1" x14ac:dyDescent="0.25"/>
    <row r="53" ht="18" customHeight="1" x14ac:dyDescent="0.25"/>
    <row r="54" ht="18" customHeight="1" x14ac:dyDescent="0.25"/>
    <row r="55" ht="18" customHeight="1" x14ac:dyDescent="0.25"/>
    <row r="56" ht="18" customHeight="1" x14ac:dyDescent="0.25"/>
    <row r="57" ht="18" customHeight="1" x14ac:dyDescent="0.25"/>
    <row r="58" ht="18" customHeight="1" x14ac:dyDescent="0.25"/>
    <row r="59" ht="18" customHeight="1" x14ac:dyDescent="0.25"/>
    <row r="60" ht="18" customHeight="1" x14ac:dyDescent="0.25"/>
    <row r="61" ht="18" customHeight="1" x14ac:dyDescent="0.25"/>
    <row r="62" ht="18" customHeight="1" x14ac:dyDescent="0.25"/>
    <row r="63" ht="18" customHeight="1" x14ac:dyDescent="0.25"/>
    <row r="64" ht="18" customHeight="1" x14ac:dyDescent="0.25"/>
    <row r="65" ht="18" customHeight="1" x14ac:dyDescent="0.25"/>
    <row r="66" ht="18" customHeight="1" x14ac:dyDescent="0.25"/>
    <row r="67" ht="18" customHeight="1" x14ac:dyDescent="0.25"/>
    <row r="68" ht="18" customHeight="1" x14ac:dyDescent="0.25"/>
    <row r="69" ht="18" customHeight="1" x14ac:dyDescent="0.25"/>
    <row r="70" ht="18" customHeight="1" x14ac:dyDescent="0.25"/>
    <row r="71" ht="18" customHeight="1" x14ac:dyDescent="0.25"/>
    <row r="72" ht="18" customHeight="1" x14ac:dyDescent="0.25"/>
    <row r="73" ht="18" customHeight="1" x14ac:dyDescent="0.25"/>
    <row r="74" ht="18" customHeight="1" x14ac:dyDescent="0.25"/>
    <row r="75" ht="18" customHeight="1" x14ac:dyDescent="0.25"/>
    <row r="76" ht="18" customHeight="1" x14ac:dyDescent="0.25"/>
    <row r="77" ht="18" customHeight="1" x14ac:dyDescent="0.25"/>
    <row r="78" ht="18" customHeight="1" x14ac:dyDescent="0.25"/>
    <row r="79" ht="18" customHeight="1" x14ac:dyDescent="0.25"/>
    <row r="80" ht="18" customHeight="1" x14ac:dyDescent="0.25"/>
    <row r="81" ht="18" customHeight="1" x14ac:dyDescent="0.25"/>
    <row r="82" ht="18" customHeight="1" x14ac:dyDescent="0.25"/>
    <row r="83" ht="18" customHeight="1" x14ac:dyDescent="0.25"/>
    <row r="84" ht="18" customHeight="1" x14ac:dyDescent="0.25"/>
    <row r="85" ht="18" customHeight="1" x14ac:dyDescent="0.25"/>
    <row r="86" ht="18" customHeight="1" x14ac:dyDescent="0.25"/>
    <row r="87" ht="18" customHeight="1" x14ac:dyDescent="0.25"/>
    <row r="88" ht="18" customHeight="1" x14ac:dyDescent="0.25"/>
    <row r="89" ht="18" customHeight="1" x14ac:dyDescent="0.25"/>
    <row r="90" ht="18" customHeight="1" x14ac:dyDescent="0.25"/>
    <row r="91" ht="18" customHeight="1" x14ac:dyDescent="0.25"/>
    <row r="92" ht="18" customHeight="1" x14ac:dyDescent="0.25"/>
    <row r="93" ht="18" customHeight="1" x14ac:dyDescent="0.25"/>
    <row r="94" ht="18" customHeight="1" x14ac:dyDescent="0.25"/>
    <row r="95" ht="18" customHeight="1" x14ac:dyDescent="0.25"/>
    <row r="96" ht="18" customHeight="1" x14ac:dyDescent="0.25"/>
    <row r="97" ht="18" customHeight="1" x14ac:dyDescent="0.25"/>
    <row r="98" ht="18" customHeight="1" x14ac:dyDescent="0.25"/>
    <row r="99" ht="18" customHeight="1" x14ac:dyDescent="0.25"/>
    <row r="100" ht="18" customHeight="1" x14ac:dyDescent="0.25"/>
    <row r="101" ht="18" customHeight="1" x14ac:dyDescent="0.25"/>
    <row r="102" ht="18" customHeight="1" x14ac:dyDescent="0.25"/>
    <row r="103" ht="18" customHeight="1" x14ac:dyDescent="0.25"/>
    <row r="104" ht="18" customHeight="1" x14ac:dyDescent="0.25"/>
    <row r="105" ht="18" customHeight="1" x14ac:dyDescent="0.25"/>
    <row r="106" ht="18" customHeight="1" x14ac:dyDescent="0.25"/>
    <row r="107" ht="18" customHeight="1" x14ac:dyDescent="0.25"/>
    <row r="108" ht="18" customHeight="1" x14ac:dyDescent="0.25"/>
    <row r="109" ht="18" customHeight="1" x14ac:dyDescent="0.25"/>
    <row r="110" ht="18" customHeight="1" x14ac:dyDescent="0.25"/>
    <row r="111" ht="18" customHeight="1" x14ac:dyDescent="0.25"/>
    <row r="112" ht="18" customHeight="1" x14ac:dyDescent="0.25"/>
    <row r="113" ht="18" customHeight="1" x14ac:dyDescent="0.25"/>
    <row r="114" ht="18" customHeight="1" x14ac:dyDescent="0.25"/>
    <row r="115" ht="18" customHeight="1" x14ac:dyDescent="0.25"/>
    <row r="116" ht="18" customHeight="1" x14ac:dyDescent="0.25"/>
    <row r="117" ht="18" customHeight="1" x14ac:dyDescent="0.25"/>
    <row r="118" ht="18" customHeight="1" x14ac:dyDescent="0.25"/>
    <row r="119" ht="18" customHeight="1" x14ac:dyDescent="0.25"/>
    <row r="120" ht="18" customHeight="1" x14ac:dyDescent="0.25"/>
    <row r="121" ht="18" customHeight="1" x14ac:dyDescent="0.25"/>
    <row r="122" ht="18" customHeight="1" x14ac:dyDescent="0.25"/>
    <row r="123" ht="18" customHeight="1" x14ac:dyDescent="0.25"/>
    <row r="124" ht="18" customHeight="1" x14ac:dyDescent="0.25"/>
    <row r="125" ht="18" customHeight="1" x14ac:dyDescent="0.25"/>
    <row r="126" ht="18" customHeight="1" x14ac:dyDescent="0.25"/>
    <row r="127" ht="18" customHeight="1" x14ac:dyDescent="0.25"/>
    <row r="128" ht="18" customHeight="1" x14ac:dyDescent="0.25"/>
    <row r="129" ht="18" customHeight="1" x14ac:dyDescent="0.25"/>
    <row r="130" ht="18" customHeight="1" x14ac:dyDescent="0.25"/>
    <row r="131" ht="18" customHeight="1" x14ac:dyDescent="0.25"/>
    <row r="132" ht="18" customHeight="1" x14ac:dyDescent="0.25"/>
    <row r="133" ht="18" customHeight="1" x14ac:dyDescent="0.25"/>
    <row r="134" ht="18" customHeight="1" x14ac:dyDescent="0.25"/>
    <row r="135" ht="18" customHeight="1" x14ac:dyDescent="0.25"/>
    <row r="136" ht="18" customHeight="1" x14ac:dyDescent="0.25"/>
    <row r="137" ht="18" customHeight="1" x14ac:dyDescent="0.25"/>
    <row r="138" ht="18" customHeight="1" x14ac:dyDescent="0.25"/>
    <row r="139" ht="18" customHeight="1" x14ac:dyDescent="0.25"/>
    <row r="140" ht="18" customHeight="1" x14ac:dyDescent="0.25"/>
    <row r="141" ht="18" customHeight="1" x14ac:dyDescent="0.25"/>
    <row r="142" ht="18" customHeight="1" x14ac:dyDescent="0.25"/>
    <row r="143" ht="18" customHeight="1" x14ac:dyDescent="0.25"/>
    <row r="144" ht="18" customHeight="1" x14ac:dyDescent="0.25"/>
    <row r="145" ht="18" customHeight="1" x14ac:dyDescent="0.25"/>
    <row r="146" ht="18" customHeight="1" x14ac:dyDescent="0.25"/>
    <row r="147" ht="18" customHeight="1" x14ac:dyDescent="0.25"/>
    <row r="148" ht="18" customHeight="1" x14ac:dyDescent="0.25"/>
    <row r="149" ht="18" customHeight="1" x14ac:dyDescent="0.25"/>
    <row r="150" ht="18" customHeight="1" x14ac:dyDescent="0.25"/>
    <row r="151" ht="18" customHeight="1" x14ac:dyDescent="0.25"/>
    <row r="152" ht="18" customHeight="1" x14ac:dyDescent="0.25"/>
    <row r="153" ht="18" customHeight="1" x14ac:dyDescent="0.25"/>
    <row r="154" ht="18" customHeight="1" x14ac:dyDescent="0.25"/>
    <row r="155" ht="18" customHeight="1" x14ac:dyDescent="0.25"/>
    <row r="156" ht="18" customHeight="1" x14ac:dyDescent="0.25"/>
    <row r="157" ht="18" customHeight="1" x14ac:dyDescent="0.25"/>
    <row r="158" ht="18" customHeight="1" x14ac:dyDescent="0.25"/>
    <row r="159" ht="18" customHeight="1" x14ac:dyDescent="0.25"/>
    <row r="160" ht="18" customHeight="1" x14ac:dyDescent="0.25"/>
    <row r="161" ht="18" customHeight="1" x14ac:dyDescent="0.25"/>
    <row r="162" ht="18" customHeight="1" x14ac:dyDescent="0.25"/>
    <row r="163" ht="18" customHeight="1" x14ac:dyDescent="0.25"/>
    <row r="164" ht="18" customHeight="1" x14ac:dyDescent="0.25"/>
    <row r="165" ht="18" customHeight="1" x14ac:dyDescent="0.25"/>
    <row r="166" ht="18" customHeight="1" x14ac:dyDescent="0.25"/>
    <row r="167" ht="18" customHeight="1" x14ac:dyDescent="0.25"/>
    <row r="168" ht="18" customHeight="1" x14ac:dyDescent="0.25"/>
    <row r="169" ht="18" customHeight="1" x14ac:dyDescent="0.25"/>
    <row r="170" ht="18" customHeight="1" x14ac:dyDescent="0.25"/>
    <row r="171" ht="18" customHeight="1" x14ac:dyDescent="0.25"/>
    <row r="172" ht="18" customHeight="1" x14ac:dyDescent="0.25"/>
    <row r="173" ht="18" customHeight="1" x14ac:dyDescent="0.25"/>
    <row r="174" ht="18" customHeight="1" x14ac:dyDescent="0.25"/>
    <row r="175" ht="18" customHeight="1" x14ac:dyDescent="0.25"/>
    <row r="176" ht="18" customHeight="1" x14ac:dyDescent="0.25"/>
    <row r="177" ht="18" customHeight="1" x14ac:dyDescent="0.25"/>
    <row r="178" ht="18" customHeight="1" x14ac:dyDescent="0.25"/>
    <row r="179" ht="18" customHeight="1" x14ac:dyDescent="0.25"/>
    <row r="180" ht="18" customHeight="1" x14ac:dyDescent="0.25"/>
    <row r="181" ht="18" customHeight="1" x14ac:dyDescent="0.25"/>
    <row r="182" ht="18" customHeight="1" x14ac:dyDescent="0.25"/>
    <row r="183" ht="18" customHeight="1" x14ac:dyDescent="0.25"/>
    <row r="184" ht="18" customHeight="1" x14ac:dyDescent="0.25"/>
    <row r="185" ht="18" customHeight="1" x14ac:dyDescent="0.25"/>
    <row r="186" ht="18" customHeight="1" x14ac:dyDescent="0.25"/>
    <row r="187" ht="18" customHeight="1" x14ac:dyDescent="0.25"/>
    <row r="188" ht="18" customHeight="1" x14ac:dyDescent="0.25"/>
    <row r="189" ht="18" customHeight="1" x14ac:dyDescent="0.25"/>
    <row r="190" ht="18" customHeight="1" x14ac:dyDescent="0.25"/>
    <row r="191" ht="18" customHeight="1" x14ac:dyDescent="0.25"/>
    <row r="192" ht="18" customHeight="1" x14ac:dyDescent="0.25"/>
    <row r="193" ht="18" customHeight="1" x14ac:dyDescent="0.25"/>
    <row r="194" ht="18" customHeight="1" x14ac:dyDescent="0.25"/>
    <row r="195" ht="18" customHeight="1" x14ac:dyDescent="0.25"/>
    <row r="196" ht="18" customHeight="1" x14ac:dyDescent="0.25"/>
    <row r="197" ht="18" customHeight="1" x14ac:dyDescent="0.25"/>
    <row r="198" ht="18" customHeight="1" x14ac:dyDescent="0.25"/>
    <row r="199" ht="18" customHeight="1" x14ac:dyDescent="0.25"/>
    <row r="200" ht="18" customHeight="1" x14ac:dyDescent="0.25"/>
    <row r="201" ht="18" customHeight="1" x14ac:dyDescent="0.25"/>
    <row r="202" ht="18" customHeight="1" x14ac:dyDescent="0.25"/>
    <row r="203" ht="18" customHeight="1" x14ac:dyDescent="0.25"/>
    <row r="204" ht="18" customHeight="1" x14ac:dyDescent="0.25"/>
    <row r="205" ht="18" customHeight="1" x14ac:dyDescent="0.25"/>
    <row r="206" ht="18" customHeight="1" x14ac:dyDescent="0.25"/>
    <row r="207" ht="18" customHeight="1" x14ac:dyDescent="0.25"/>
    <row r="208" ht="18" customHeight="1" x14ac:dyDescent="0.25"/>
    <row r="209" ht="18" customHeight="1" x14ac:dyDescent="0.25"/>
    <row r="210" ht="18" customHeight="1" x14ac:dyDescent="0.25"/>
    <row r="211" ht="18" customHeight="1" x14ac:dyDescent="0.25"/>
    <row r="212" ht="18" customHeight="1" x14ac:dyDescent="0.25"/>
    <row r="213" ht="18" customHeight="1" x14ac:dyDescent="0.25"/>
    <row r="214" ht="18" customHeight="1" x14ac:dyDescent="0.25"/>
    <row r="215" ht="18" customHeight="1" x14ac:dyDescent="0.25"/>
    <row r="216" ht="18" customHeight="1" x14ac:dyDescent="0.25"/>
    <row r="217" ht="18" customHeight="1" x14ac:dyDescent="0.25"/>
    <row r="218" ht="18" customHeight="1" x14ac:dyDescent="0.25"/>
    <row r="219" ht="18" customHeight="1" x14ac:dyDescent="0.25"/>
    <row r="220" ht="18" customHeight="1" x14ac:dyDescent="0.25"/>
    <row r="221" ht="18" customHeight="1" x14ac:dyDescent="0.25"/>
    <row r="222" ht="18" customHeight="1" x14ac:dyDescent="0.25"/>
    <row r="223" ht="18" customHeight="1" x14ac:dyDescent="0.25"/>
    <row r="224" ht="18" customHeight="1" x14ac:dyDescent="0.25"/>
    <row r="225" ht="18" customHeight="1" x14ac:dyDescent="0.25"/>
    <row r="226" ht="18" customHeight="1" x14ac:dyDescent="0.25"/>
    <row r="227" ht="18" customHeight="1" x14ac:dyDescent="0.25"/>
    <row r="228" ht="18" customHeight="1" x14ac:dyDescent="0.25"/>
    <row r="229" ht="18" customHeight="1" x14ac:dyDescent="0.25"/>
    <row r="230" ht="18" customHeight="1" x14ac:dyDescent="0.25"/>
    <row r="231" ht="18" customHeight="1" x14ac:dyDescent="0.25"/>
    <row r="232" ht="18" customHeight="1" x14ac:dyDescent="0.25"/>
    <row r="233" ht="18" customHeight="1" x14ac:dyDescent="0.25"/>
    <row r="234" ht="18" customHeight="1" x14ac:dyDescent="0.25"/>
    <row r="235" ht="18" customHeight="1" x14ac:dyDescent="0.25"/>
    <row r="236" ht="18" customHeight="1" x14ac:dyDescent="0.25"/>
    <row r="237" ht="18" customHeight="1" x14ac:dyDescent="0.25"/>
    <row r="238" ht="18" customHeight="1" x14ac:dyDescent="0.25"/>
    <row r="239" ht="18" customHeight="1" x14ac:dyDescent="0.25"/>
    <row r="240" ht="18" customHeight="1" x14ac:dyDescent="0.25"/>
    <row r="241" ht="18" customHeight="1" x14ac:dyDescent="0.25"/>
    <row r="242" ht="18" customHeight="1" x14ac:dyDescent="0.25"/>
    <row r="243" ht="18" customHeight="1" x14ac:dyDescent="0.25"/>
    <row r="244" ht="18" customHeight="1" x14ac:dyDescent="0.25"/>
    <row r="245" ht="18" customHeight="1" x14ac:dyDescent="0.25"/>
    <row r="246" ht="18" customHeight="1" x14ac:dyDescent="0.25"/>
    <row r="247" ht="18" customHeight="1" x14ac:dyDescent="0.25"/>
    <row r="248" ht="18" customHeight="1" x14ac:dyDescent="0.25"/>
    <row r="249" ht="18" customHeight="1" x14ac:dyDescent="0.25"/>
    <row r="250" ht="18" customHeight="1" x14ac:dyDescent="0.25"/>
    <row r="251" ht="18" customHeight="1" x14ac:dyDescent="0.25"/>
    <row r="252" ht="18" customHeight="1" x14ac:dyDescent="0.25"/>
    <row r="253" ht="18" customHeight="1" x14ac:dyDescent="0.25"/>
    <row r="254" ht="18" customHeight="1" x14ac:dyDescent="0.25"/>
    <row r="255" ht="18" customHeight="1" x14ac:dyDescent="0.25"/>
    <row r="256" ht="18" customHeight="1" x14ac:dyDescent="0.25"/>
    <row r="257" ht="18" customHeight="1" x14ac:dyDescent="0.25"/>
    <row r="258" ht="18" customHeight="1" x14ac:dyDescent="0.25"/>
    <row r="259" ht="18" customHeight="1" x14ac:dyDescent="0.25"/>
    <row r="260" ht="18" customHeight="1" x14ac:dyDescent="0.25"/>
    <row r="261" ht="18" customHeight="1" x14ac:dyDescent="0.25"/>
    <row r="262" ht="18" customHeight="1" x14ac:dyDescent="0.25"/>
    <row r="263" ht="18" customHeight="1" x14ac:dyDescent="0.25"/>
    <row r="264" ht="18" customHeight="1" x14ac:dyDescent="0.25"/>
    <row r="265" ht="18" customHeight="1" x14ac:dyDescent="0.25"/>
    <row r="266" ht="18" customHeight="1" x14ac:dyDescent="0.25"/>
    <row r="267" ht="18" customHeight="1" x14ac:dyDescent="0.25"/>
    <row r="268" ht="18" customHeight="1" x14ac:dyDescent="0.25"/>
    <row r="269" ht="18" customHeight="1" x14ac:dyDescent="0.25"/>
    <row r="270" ht="18" customHeight="1" x14ac:dyDescent="0.25"/>
    <row r="271" ht="18" customHeight="1" x14ac:dyDescent="0.25"/>
    <row r="272" ht="18" customHeight="1" x14ac:dyDescent="0.25"/>
    <row r="273" ht="18" customHeight="1" x14ac:dyDescent="0.25"/>
    <row r="274" ht="18" customHeight="1" x14ac:dyDescent="0.25"/>
    <row r="275" ht="18" customHeight="1" x14ac:dyDescent="0.25"/>
    <row r="276" ht="18" customHeight="1" x14ac:dyDescent="0.25"/>
    <row r="277" ht="18" customHeight="1" x14ac:dyDescent="0.25"/>
    <row r="278" ht="18" customHeight="1" x14ac:dyDescent="0.25"/>
    <row r="279" ht="18" customHeight="1" x14ac:dyDescent="0.25"/>
    <row r="280" ht="18" customHeight="1" x14ac:dyDescent="0.25"/>
    <row r="281" ht="18" customHeight="1" x14ac:dyDescent="0.25"/>
    <row r="282" ht="18" customHeight="1" x14ac:dyDescent="0.25"/>
    <row r="283" ht="18" customHeight="1" x14ac:dyDescent="0.25"/>
    <row r="284" ht="18" customHeight="1" x14ac:dyDescent="0.25"/>
    <row r="285" ht="18" customHeight="1" x14ac:dyDescent="0.25"/>
    <row r="286" ht="18" customHeight="1" x14ac:dyDescent="0.25"/>
    <row r="287" ht="18" customHeight="1" x14ac:dyDescent="0.25"/>
    <row r="288" ht="18" customHeight="1" x14ac:dyDescent="0.25"/>
    <row r="289" ht="18" customHeight="1" x14ac:dyDescent="0.25"/>
    <row r="290" ht="18" customHeight="1" x14ac:dyDescent="0.25"/>
    <row r="291" ht="18" customHeight="1" x14ac:dyDescent="0.25"/>
    <row r="292" ht="18" customHeight="1" x14ac:dyDescent="0.25"/>
    <row r="293" ht="18" customHeight="1" x14ac:dyDescent="0.25"/>
    <row r="294" ht="18" customHeight="1" x14ac:dyDescent="0.25"/>
    <row r="295" ht="18" customHeight="1" x14ac:dyDescent="0.25"/>
    <row r="296" ht="18" customHeight="1" x14ac:dyDescent="0.25"/>
    <row r="297" ht="18" customHeight="1" x14ac:dyDescent="0.25"/>
    <row r="298" ht="18" customHeight="1" x14ac:dyDescent="0.25"/>
    <row r="299" ht="18" customHeight="1" x14ac:dyDescent="0.25"/>
    <row r="300" ht="18" customHeight="1" x14ac:dyDescent="0.25"/>
    <row r="301" ht="18" customHeight="1" x14ac:dyDescent="0.25"/>
    <row r="302" ht="18" customHeight="1" x14ac:dyDescent="0.25"/>
    <row r="303" ht="18" customHeight="1" x14ac:dyDescent="0.25"/>
    <row r="304" ht="18" customHeight="1" x14ac:dyDescent="0.25"/>
    <row r="305" ht="18" customHeight="1" x14ac:dyDescent="0.25"/>
    <row r="306" ht="18" customHeight="1" x14ac:dyDescent="0.25"/>
    <row r="307" ht="18" customHeight="1" x14ac:dyDescent="0.25"/>
    <row r="308" ht="18" customHeight="1" x14ac:dyDescent="0.25"/>
    <row r="309" ht="18" customHeight="1" x14ac:dyDescent="0.25"/>
    <row r="310" ht="18" customHeight="1" x14ac:dyDescent="0.25"/>
    <row r="311" ht="18" customHeight="1" x14ac:dyDescent="0.25"/>
    <row r="312" ht="18" customHeight="1" x14ac:dyDescent="0.25"/>
    <row r="313" ht="18" customHeight="1" x14ac:dyDescent="0.25"/>
    <row r="314" ht="18" customHeight="1" x14ac:dyDescent="0.25"/>
    <row r="315" ht="18" customHeight="1" x14ac:dyDescent="0.25"/>
    <row r="316" ht="18" customHeight="1" x14ac:dyDescent="0.25"/>
    <row r="317" ht="18" customHeight="1" x14ac:dyDescent="0.25"/>
    <row r="318" ht="18" customHeight="1" x14ac:dyDescent="0.25"/>
    <row r="319" ht="18" customHeight="1" x14ac:dyDescent="0.25"/>
    <row r="320" ht="18" customHeight="1" x14ac:dyDescent="0.25"/>
    <row r="321" ht="18" customHeight="1" x14ac:dyDescent="0.25"/>
    <row r="322" ht="18" customHeight="1" x14ac:dyDescent="0.25"/>
    <row r="323" ht="18" customHeight="1" x14ac:dyDescent="0.25"/>
    <row r="324" ht="18" customHeight="1" x14ac:dyDescent="0.25"/>
    <row r="325" ht="18" customHeight="1" x14ac:dyDescent="0.25"/>
    <row r="326" ht="18" customHeight="1" x14ac:dyDescent="0.25"/>
    <row r="327" ht="18" customHeight="1" x14ac:dyDescent="0.25"/>
    <row r="328" ht="18" customHeight="1" x14ac:dyDescent="0.25"/>
    <row r="329" ht="18" customHeight="1" x14ac:dyDescent="0.25"/>
    <row r="330" ht="18" customHeight="1" x14ac:dyDescent="0.25"/>
    <row r="331" ht="18" customHeight="1" x14ac:dyDescent="0.25"/>
    <row r="332" ht="18" customHeight="1" x14ac:dyDescent="0.25"/>
    <row r="333" ht="18" customHeight="1" x14ac:dyDescent="0.25"/>
    <row r="334" ht="18" customHeight="1" x14ac:dyDescent="0.25"/>
    <row r="335" ht="18" customHeight="1" x14ac:dyDescent="0.25"/>
    <row r="336" ht="18" customHeight="1" x14ac:dyDescent="0.25"/>
    <row r="337" ht="18" customHeight="1" x14ac:dyDescent="0.25"/>
    <row r="338" ht="18" customHeight="1" x14ac:dyDescent="0.25"/>
    <row r="339" ht="18" customHeight="1" x14ac:dyDescent="0.25"/>
    <row r="340" ht="18" customHeight="1" x14ac:dyDescent="0.25"/>
    <row r="341" ht="18" customHeight="1" x14ac:dyDescent="0.25"/>
    <row r="342" ht="18" customHeight="1" x14ac:dyDescent="0.25"/>
    <row r="343" ht="18" customHeight="1" x14ac:dyDescent="0.25"/>
    <row r="344" ht="18" customHeight="1" x14ac:dyDescent="0.25"/>
    <row r="345" ht="18" customHeight="1" x14ac:dyDescent="0.25"/>
    <row r="346" ht="18" customHeight="1" x14ac:dyDescent="0.25"/>
    <row r="347" ht="18" customHeight="1" x14ac:dyDescent="0.25"/>
    <row r="348" ht="18" customHeight="1" x14ac:dyDescent="0.25"/>
    <row r="349" ht="18" customHeight="1" x14ac:dyDescent="0.25"/>
    <row r="350" ht="18" customHeight="1" x14ac:dyDescent="0.25"/>
    <row r="351" ht="18" customHeight="1" x14ac:dyDescent="0.25"/>
    <row r="352" ht="18" customHeight="1" x14ac:dyDescent="0.25"/>
    <row r="353" ht="18" customHeight="1" x14ac:dyDescent="0.25"/>
    <row r="354" ht="18" customHeight="1" x14ac:dyDescent="0.25"/>
    <row r="355" ht="18" customHeight="1" x14ac:dyDescent="0.25"/>
    <row r="356" ht="18" customHeight="1" x14ac:dyDescent="0.25"/>
    <row r="357" ht="18" customHeight="1" x14ac:dyDescent="0.25"/>
    <row r="358" ht="18" customHeight="1" x14ac:dyDescent="0.25"/>
    <row r="359" ht="18" customHeight="1" x14ac:dyDescent="0.25"/>
    <row r="360" ht="18" customHeight="1" x14ac:dyDescent="0.25"/>
    <row r="361" ht="18" customHeight="1" x14ac:dyDescent="0.25"/>
    <row r="362" ht="18" customHeight="1" x14ac:dyDescent="0.25"/>
    <row r="363" ht="18" customHeight="1" x14ac:dyDescent="0.25"/>
    <row r="364" ht="18" customHeight="1" x14ac:dyDescent="0.25"/>
    <row r="365" ht="18" customHeight="1" x14ac:dyDescent="0.25"/>
    <row r="366" ht="18" customHeight="1" x14ac:dyDescent="0.25"/>
    <row r="367" ht="18" customHeight="1" x14ac:dyDescent="0.25"/>
    <row r="368" ht="18" customHeight="1" x14ac:dyDescent="0.25"/>
    <row r="369" ht="18" customHeight="1" x14ac:dyDescent="0.25"/>
    <row r="370" ht="18" customHeight="1" x14ac:dyDescent="0.25"/>
    <row r="371" ht="18" customHeight="1" x14ac:dyDescent="0.25"/>
    <row r="372" ht="18" customHeight="1" x14ac:dyDescent="0.25"/>
    <row r="373" ht="18" customHeight="1" x14ac:dyDescent="0.25"/>
    <row r="374" ht="18" customHeight="1" x14ac:dyDescent="0.25"/>
    <row r="375" ht="18" customHeight="1" x14ac:dyDescent="0.25"/>
    <row r="376" ht="18" customHeight="1" x14ac:dyDescent="0.25"/>
    <row r="377" ht="18" customHeight="1" x14ac:dyDescent="0.25"/>
    <row r="378" ht="18" customHeight="1" x14ac:dyDescent="0.25"/>
    <row r="379" ht="18" customHeight="1" x14ac:dyDescent="0.25"/>
    <row r="380" ht="18" customHeight="1" x14ac:dyDescent="0.25"/>
    <row r="381" ht="18" customHeight="1" x14ac:dyDescent="0.25"/>
    <row r="382" ht="18" customHeight="1" x14ac:dyDescent="0.25"/>
    <row r="383" ht="18" customHeight="1" x14ac:dyDescent="0.25"/>
    <row r="384" ht="18" customHeight="1" x14ac:dyDescent="0.25"/>
    <row r="385" ht="18" customHeight="1" x14ac:dyDescent="0.25"/>
    <row r="386" ht="18" customHeight="1" x14ac:dyDescent="0.25"/>
    <row r="387" ht="18" customHeight="1" x14ac:dyDescent="0.25"/>
    <row r="388" ht="18" customHeight="1" x14ac:dyDescent="0.25"/>
    <row r="389" ht="18" customHeight="1" x14ac:dyDescent="0.25"/>
    <row r="390" ht="18" customHeight="1" x14ac:dyDescent="0.25"/>
    <row r="391" ht="18" customHeight="1" x14ac:dyDescent="0.25"/>
    <row r="392" ht="18" customHeight="1" x14ac:dyDescent="0.25"/>
    <row r="393" ht="18" customHeight="1" x14ac:dyDescent="0.25"/>
    <row r="394" ht="18" customHeight="1" x14ac:dyDescent="0.25"/>
    <row r="395" ht="18" customHeight="1" x14ac:dyDescent="0.25"/>
    <row r="396" ht="18" customHeight="1" x14ac:dyDescent="0.25"/>
    <row r="397" ht="18" customHeight="1" x14ac:dyDescent="0.25"/>
    <row r="398" ht="18" customHeight="1" x14ac:dyDescent="0.25"/>
    <row r="399" ht="18" customHeight="1" x14ac:dyDescent="0.25"/>
    <row r="400" ht="18" customHeight="1" x14ac:dyDescent="0.25"/>
    <row r="401" ht="18" customHeight="1" x14ac:dyDescent="0.25"/>
    <row r="402" ht="18" customHeight="1" x14ac:dyDescent="0.25"/>
    <row r="403" ht="18" customHeight="1" x14ac:dyDescent="0.25"/>
    <row r="404" ht="18" customHeight="1" x14ac:dyDescent="0.25"/>
    <row r="405" ht="18" customHeight="1" x14ac:dyDescent="0.25"/>
    <row r="406" ht="18" customHeight="1" x14ac:dyDescent="0.25"/>
    <row r="407" ht="18" customHeight="1" x14ac:dyDescent="0.25"/>
    <row r="408" ht="18" customHeight="1" x14ac:dyDescent="0.25"/>
    <row r="409" ht="18" customHeight="1" x14ac:dyDescent="0.25"/>
    <row r="410" ht="18" customHeight="1" x14ac:dyDescent="0.25"/>
    <row r="411" ht="18" customHeight="1" x14ac:dyDescent="0.25"/>
    <row r="412" ht="18" customHeight="1" x14ac:dyDescent="0.25"/>
    <row r="413" ht="18" customHeight="1" x14ac:dyDescent="0.25"/>
    <row r="414" ht="18" customHeight="1" x14ac:dyDescent="0.25"/>
    <row r="415" ht="18" customHeight="1" x14ac:dyDescent="0.25"/>
    <row r="416" ht="18" customHeight="1" x14ac:dyDescent="0.25"/>
    <row r="417" ht="18" customHeight="1" x14ac:dyDescent="0.25"/>
    <row r="418" ht="18" customHeight="1" x14ac:dyDescent="0.25"/>
    <row r="419" ht="18" customHeight="1" x14ac:dyDescent="0.25"/>
    <row r="420" ht="18" customHeight="1" x14ac:dyDescent="0.25"/>
    <row r="421" ht="18" customHeight="1" x14ac:dyDescent="0.25"/>
    <row r="422" ht="18" customHeight="1" x14ac:dyDescent="0.25"/>
    <row r="423" ht="18" customHeight="1" x14ac:dyDescent="0.25"/>
    <row r="424" ht="18" customHeight="1" x14ac:dyDescent="0.25"/>
    <row r="425" ht="18" customHeight="1" x14ac:dyDescent="0.25"/>
    <row r="426" ht="18" customHeight="1" x14ac:dyDescent="0.25"/>
    <row r="427" ht="18" customHeight="1" x14ac:dyDescent="0.25"/>
    <row r="428" ht="18" customHeight="1" x14ac:dyDescent="0.25"/>
    <row r="429" ht="18" customHeight="1" x14ac:dyDescent="0.25"/>
    <row r="430" ht="18" customHeight="1" x14ac:dyDescent="0.25"/>
    <row r="431" ht="18" customHeight="1" x14ac:dyDescent="0.25"/>
    <row r="432" ht="18" customHeight="1" x14ac:dyDescent="0.25"/>
    <row r="433" ht="18" customHeight="1" x14ac:dyDescent="0.25"/>
    <row r="434" ht="18" customHeight="1" x14ac:dyDescent="0.25"/>
    <row r="435" ht="18" customHeight="1" x14ac:dyDescent="0.25"/>
    <row r="436" ht="18" customHeight="1" x14ac:dyDescent="0.25"/>
    <row r="437" ht="18" customHeight="1" x14ac:dyDescent="0.25"/>
    <row r="438" ht="18" customHeight="1" x14ac:dyDescent="0.25"/>
    <row r="439" ht="18" customHeight="1" x14ac:dyDescent="0.25"/>
    <row r="440" ht="18" customHeight="1" x14ac:dyDescent="0.25"/>
    <row r="441" ht="18" customHeight="1" x14ac:dyDescent="0.25"/>
    <row r="442" ht="18" customHeight="1" x14ac:dyDescent="0.25"/>
    <row r="443" ht="18" customHeight="1" x14ac:dyDescent="0.25"/>
    <row r="444" ht="18" customHeight="1" x14ac:dyDescent="0.25"/>
    <row r="445" ht="18" customHeight="1" x14ac:dyDescent="0.25"/>
    <row r="446" ht="18" customHeight="1" x14ac:dyDescent="0.25"/>
    <row r="447" ht="18" customHeight="1" x14ac:dyDescent="0.25"/>
    <row r="448" ht="18" customHeight="1" x14ac:dyDescent="0.25"/>
    <row r="449" ht="18" customHeight="1" x14ac:dyDescent="0.25"/>
    <row r="450" ht="18" customHeight="1" x14ac:dyDescent="0.25"/>
    <row r="451" ht="18" customHeight="1" x14ac:dyDescent="0.25"/>
    <row r="452" ht="18" customHeight="1" x14ac:dyDescent="0.25"/>
    <row r="453" ht="18" customHeight="1" x14ac:dyDescent="0.25"/>
    <row r="454" ht="18" customHeight="1" x14ac:dyDescent="0.25"/>
    <row r="455" ht="18" customHeight="1" x14ac:dyDescent="0.25"/>
    <row r="456" ht="18" customHeight="1" x14ac:dyDescent="0.25"/>
    <row r="457" ht="18" customHeight="1" x14ac:dyDescent="0.25"/>
    <row r="458" ht="18" customHeight="1" x14ac:dyDescent="0.25"/>
    <row r="459" ht="18" customHeight="1" x14ac:dyDescent="0.25"/>
    <row r="460" ht="18" customHeight="1" x14ac:dyDescent="0.25"/>
    <row r="461" ht="18" customHeight="1" x14ac:dyDescent="0.25"/>
    <row r="462" ht="18" customHeight="1" x14ac:dyDescent="0.25"/>
    <row r="463" ht="18" customHeight="1" x14ac:dyDescent="0.25"/>
    <row r="464" ht="18" customHeight="1" x14ac:dyDescent="0.25"/>
    <row r="465" ht="18" customHeight="1" x14ac:dyDescent="0.25"/>
    <row r="466" ht="18" customHeight="1" x14ac:dyDescent="0.25"/>
    <row r="467" ht="18" customHeight="1" x14ac:dyDescent="0.25"/>
    <row r="468" ht="18" customHeight="1" x14ac:dyDescent="0.25"/>
    <row r="469" ht="18" customHeight="1" x14ac:dyDescent="0.25"/>
    <row r="470" ht="18" customHeight="1" x14ac:dyDescent="0.25"/>
    <row r="471" ht="18" customHeight="1" x14ac:dyDescent="0.25"/>
    <row r="472" ht="18" customHeight="1" x14ac:dyDescent="0.25"/>
    <row r="473" ht="18" customHeight="1" x14ac:dyDescent="0.25"/>
    <row r="474" ht="18" customHeight="1" x14ac:dyDescent="0.25"/>
    <row r="475" ht="18" customHeight="1" x14ac:dyDescent="0.25"/>
    <row r="476" ht="18" customHeight="1" x14ac:dyDescent="0.25"/>
    <row r="477" ht="18" customHeight="1" x14ac:dyDescent="0.25"/>
    <row r="478" ht="18" customHeight="1" x14ac:dyDescent="0.25"/>
    <row r="479" ht="18" customHeight="1" x14ac:dyDescent="0.25"/>
    <row r="480" ht="18" customHeight="1" x14ac:dyDescent="0.25"/>
    <row r="481" ht="18" customHeight="1" x14ac:dyDescent="0.25"/>
    <row r="482" ht="18" customHeight="1" x14ac:dyDescent="0.25"/>
    <row r="483" ht="18" customHeight="1" x14ac:dyDescent="0.25"/>
    <row r="484" ht="18" customHeight="1" x14ac:dyDescent="0.25"/>
    <row r="485" ht="18" customHeight="1" x14ac:dyDescent="0.25"/>
    <row r="486" ht="18" customHeight="1" x14ac:dyDescent="0.25"/>
    <row r="487" ht="18" customHeight="1" x14ac:dyDescent="0.25"/>
    <row r="488" ht="18" customHeight="1" x14ac:dyDescent="0.25"/>
    <row r="489" ht="18" customHeight="1" x14ac:dyDescent="0.25"/>
    <row r="490" ht="18" customHeight="1" x14ac:dyDescent="0.25"/>
    <row r="491" ht="18" customHeight="1" x14ac:dyDescent="0.25"/>
    <row r="492" ht="18" customHeight="1" x14ac:dyDescent="0.25"/>
    <row r="493" ht="18" customHeight="1" x14ac:dyDescent="0.25"/>
    <row r="494" ht="18" customHeight="1" x14ac:dyDescent="0.25"/>
    <row r="495" ht="18" customHeight="1" x14ac:dyDescent="0.25"/>
    <row r="496" ht="18" customHeight="1" x14ac:dyDescent="0.25"/>
    <row r="497" ht="18" customHeight="1" x14ac:dyDescent="0.25"/>
    <row r="498" ht="18" customHeight="1" x14ac:dyDescent="0.25"/>
    <row r="499" ht="18" customHeight="1" x14ac:dyDescent="0.25"/>
    <row r="500" ht="18" customHeight="1" x14ac:dyDescent="0.25"/>
    <row r="501" ht="18" customHeight="1" x14ac:dyDescent="0.25"/>
    <row r="502" ht="18" customHeight="1" x14ac:dyDescent="0.25"/>
    <row r="503" ht="18" customHeight="1" x14ac:dyDescent="0.25"/>
    <row r="504" ht="18" customHeight="1" x14ac:dyDescent="0.25"/>
    <row r="505" ht="18" customHeight="1" x14ac:dyDescent="0.25"/>
    <row r="506" ht="18" customHeight="1" x14ac:dyDescent="0.25"/>
    <row r="507" ht="18" customHeight="1" x14ac:dyDescent="0.25"/>
    <row r="508" ht="18" customHeight="1" x14ac:dyDescent="0.25"/>
    <row r="509" ht="18" customHeight="1" x14ac:dyDescent="0.25"/>
    <row r="510" ht="18" customHeight="1" x14ac:dyDescent="0.25"/>
    <row r="511" ht="18" customHeight="1" x14ac:dyDescent="0.25"/>
    <row r="512" ht="18" customHeight="1" x14ac:dyDescent="0.25"/>
    <row r="513" ht="18" customHeight="1" x14ac:dyDescent="0.25"/>
    <row r="514" ht="18" customHeight="1" x14ac:dyDescent="0.25"/>
    <row r="515" ht="18" customHeight="1" x14ac:dyDescent="0.25"/>
    <row r="516" ht="18" customHeight="1" x14ac:dyDescent="0.25"/>
    <row r="517" ht="18" customHeight="1" x14ac:dyDescent="0.25"/>
    <row r="518" ht="18" customHeight="1" x14ac:dyDescent="0.25"/>
    <row r="519" ht="18" customHeight="1" x14ac:dyDescent="0.25"/>
    <row r="520" ht="18" customHeight="1" x14ac:dyDescent="0.25"/>
    <row r="521" ht="18" customHeight="1" x14ac:dyDescent="0.25"/>
    <row r="522" ht="18" customHeight="1" x14ac:dyDescent="0.25"/>
    <row r="523" ht="18" customHeight="1" x14ac:dyDescent="0.25"/>
    <row r="524" ht="18" customHeight="1" x14ac:dyDescent="0.25"/>
    <row r="525" ht="18" customHeight="1" x14ac:dyDescent="0.25"/>
    <row r="526" ht="18" customHeight="1" x14ac:dyDescent="0.25"/>
    <row r="527" ht="18" customHeight="1" x14ac:dyDescent="0.25"/>
    <row r="528" ht="18" customHeight="1" x14ac:dyDescent="0.25"/>
    <row r="529" ht="18" customHeight="1" x14ac:dyDescent="0.25"/>
    <row r="530" ht="18" customHeight="1" x14ac:dyDescent="0.25"/>
    <row r="531" ht="18" customHeight="1" x14ac:dyDescent="0.25"/>
    <row r="532" ht="18" customHeight="1" x14ac:dyDescent="0.25"/>
    <row r="533" ht="18" customHeight="1" x14ac:dyDescent="0.25"/>
    <row r="534" ht="18" customHeight="1" x14ac:dyDescent="0.25"/>
    <row r="535" ht="18" customHeight="1" x14ac:dyDescent="0.25"/>
    <row r="536" ht="18" customHeight="1" x14ac:dyDescent="0.25"/>
    <row r="537" ht="18" customHeight="1" x14ac:dyDescent="0.25"/>
    <row r="538" ht="18" customHeight="1" x14ac:dyDescent="0.25"/>
    <row r="539" ht="18" customHeight="1" x14ac:dyDescent="0.25"/>
    <row r="540" ht="18" customHeight="1" x14ac:dyDescent="0.25"/>
    <row r="541" ht="18" customHeight="1" x14ac:dyDescent="0.25"/>
    <row r="542" ht="18" customHeight="1" x14ac:dyDescent="0.25"/>
    <row r="543" ht="18" customHeight="1" x14ac:dyDescent="0.25"/>
    <row r="544" ht="18" customHeight="1" x14ac:dyDescent="0.25"/>
    <row r="545" ht="18" customHeight="1" x14ac:dyDescent="0.25"/>
    <row r="546" ht="18" customHeight="1" x14ac:dyDescent="0.25"/>
    <row r="547" ht="18" customHeight="1" x14ac:dyDescent="0.25"/>
    <row r="548" ht="18" customHeight="1" x14ac:dyDescent="0.25"/>
    <row r="549" ht="18" customHeight="1" x14ac:dyDescent="0.25"/>
    <row r="550" ht="18" customHeight="1" x14ac:dyDescent="0.25"/>
    <row r="551" ht="18" customHeight="1" x14ac:dyDescent="0.25"/>
    <row r="552" ht="18" customHeight="1" x14ac:dyDescent="0.25"/>
    <row r="553" ht="18" customHeight="1" x14ac:dyDescent="0.25"/>
    <row r="554" ht="18" customHeight="1" x14ac:dyDescent="0.25"/>
    <row r="555" ht="18" customHeight="1" x14ac:dyDescent="0.25"/>
    <row r="556" ht="18" customHeight="1" x14ac:dyDescent="0.25"/>
    <row r="557" ht="18" customHeight="1" x14ac:dyDescent="0.25"/>
    <row r="558" ht="18" customHeight="1" x14ac:dyDescent="0.25"/>
    <row r="559" ht="18" customHeight="1" x14ac:dyDescent="0.25"/>
  </sheetData>
  <sortState xmlns:xlrd2="http://schemas.microsoft.com/office/spreadsheetml/2017/richdata2" ref="A173:GQ571">
    <sortCondition ref="D173:D571"/>
    <sortCondition ref="A173:A571"/>
  </sortState>
  <printOptions gridLines="1" gridLinesSet="0"/>
  <pageMargins left="0.75" right="0.75" top="1" bottom="1" header="0.5" footer="0.5"/>
  <drawing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K36"/>
  <sheetViews>
    <sheetView topLeftCell="V2" workbookViewId="0">
      <selection activeCell="I6" sqref="I6"/>
    </sheetView>
  </sheetViews>
  <sheetFormatPr defaultColWidth="11.453125" defaultRowHeight="12.5" x14ac:dyDescent="0.25"/>
  <cols>
    <col min="3" max="3" width="5.6328125" customWidth="1"/>
    <col min="4" max="4" width="20.6328125" customWidth="1"/>
    <col min="5" max="5" width="25.1796875" customWidth="1"/>
    <col min="6" max="6" width="21" customWidth="1"/>
    <col min="7" max="7" width="12.453125" customWidth="1"/>
    <col min="8" max="8" width="15.453125" customWidth="1"/>
    <col min="9" max="9" width="26.453125" customWidth="1"/>
    <col min="10" max="10" width="16.453125" customWidth="1"/>
    <col min="11" max="17" width="12.453125" customWidth="1"/>
    <col min="18" max="18" width="7.81640625" customWidth="1"/>
    <col min="21" max="21" width="21.1796875" customWidth="1"/>
    <col min="22" max="22" width="21.453125" customWidth="1"/>
    <col min="23" max="23" width="20.1796875" customWidth="1"/>
    <col min="24" max="24" width="18.453125" customWidth="1"/>
    <col min="28" max="28" width="20.81640625" customWidth="1"/>
    <col min="29" max="29" width="22.1796875" customWidth="1"/>
    <col min="30" max="30" width="22.81640625" customWidth="1"/>
    <col min="31" max="31" width="14.81640625" customWidth="1"/>
    <col min="32" max="32" width="17.81640625" customWidth="1"/>
    <col min="33" max="36" width="14.81640625" customWidth="1"/>
    <col min="37" max="37" width="10.1796875" customWidth="1"/>
    <col min="38" max="38" width="21" customWidth="1"/>
    <col min="39" max="39" width="20.453125" customWidth="1"/>
    <col min="40" max="43" width="10.1796875" customWidth="1"/>
    <col min="44" max="44" width="2.1796875" customWidth="1"/>
    <col min="45" max="45" width="21.1796875" customWidth="1"/>
    <col min="46" max="46" width="22" customWidth="1"/>
    <col min="47" max="47" width="23" customWidth="1"/>
    <col min="48" max="51" width="10.1796875" customWidth="1"/>
    <col min="52" max="52" width="26.6328125" customWidth="1"/>
    <col min="53" max="53" width="22.6328125" customWidth="1"/>
    <col min="54" max="54" width="13.1796875" customWidth="1"/>
    <col min="55" max="58" width="10.1796875" customWidth="1"/>
    <col min="59" max="59" width="26.6328125" customWidth="1"/>
    <col min="60" max="60" width="22.6328125" customWidth="1"/>
    <col min="61" max="61" width="13.1796875" customWidth="1"/>
    <col min="62" max="65" width="10.1796875" customWidth="1"/>
    <col min="66" max="66" width="23.6328125" customWidth="1"/>
    <col min="67" max="67" width="19.6328125" customWidth="1"/>
    <col min="68" max="68" width="16.6328125" customWidth="1"/>
    <col min="69" max="69" width="3.1796875" customWidth="1"/>
    <col min="70" max="71" width="14.81640625" customWidth="1"/>
    <col min="72" max="72" width="10.1796875" customWidth="1"/>
    <col min="73" max="73" width="23.6328125" customWidth="1"/>
    <col min="74" max="74" width="19.6328125" customWidth="1"/>
    <col min="75" max="75" width="16.6328125" customWidth="1"/>
    <col min="76" max="76" width="3.1796875" customWidth="1"/>
    <col min="77" max="78" width="14.81640625" customWidth="1"/>
    <col min="79" max="79" width="11.81640625" customWidth="1"/>
    <col min="80" max="80" width="21" customWidth="1"/>
    <col min="81" max="86" width="11.81640625" customWidth="1"/>
    <col min="87" max="92" width="14.81640625" customWidth="1"/>
    <col min="93" max="93" width="17" customWidth="1"/>
    <col min="94" max="94" width="3.1796875" customWidth="1"/>
    <col min="95" max="95" width="29" customWidth="1"/>
    <col min="96" max="96" width="20.81640625" customWidth="1"/>
    <col min="97" max="97" width="13.36328125" customWidth="1"/>
    <col min="98" max="98" width="14.1796875" customWidth="1"/>
    <col min="101" max="101" width="17.1796875" customWidth="1"/>
  </cols>
  <sheetData>
    <row r="1" spans="1:115" ht="28.5" thickBot="1" x14ac:dyDescent="0.65">
      <c r="A1" s="41" t="s">
        <v>212</v>
      </c>
      <c r="K1" s="2" t="s">
        <v>240</v>
      </c>
      <c r="U1" s="2" t="s">
        <v>230</v>
      </c>
    </row>
    <row r="2" spans="1:115" ht="17.5" x14ac:dyDescent="0.45">
      <c r="I2" s="120"/>
      <c r="J2" s="121"/>
      <c r="K2" s="122" t="s">
        <v>225</v>
      </c>
      <c r="L2" s="122" t="s">
        <v>226</v>
      </c>
      <c r="M2" s="122" t="s">
        <v>227</v>
      </c>
      <c r="N2" s="122" t="s">
        <v>59</v>
      </c>
      <c r="O2" s="122" t="s">
        <v>61</v>
      </c>
      <c r="P2" s="122" t="s">
        <v>172</v>
      </c>
      <c r="Q2" s="122" t="s">
        <v>229</v>
      </c>
      <c r="R2" s="123" t="s">
        <v>228</v>
      </c>
      <c r="T2" s="128"/>
      <c r="U2" s="122" t="s">
        <v>213</v>
      </c>
      <c r="V2" s="122" t="s">
        <v>214</v>
      </c>
      <c r="W2" s="122" t="s">
        <v>215</v>
      </c>
      <c r="X2" s="122" t="s">
        <v>216</v>
      </c>
      <c r="Y2" s="122" t="s">
        <v>217</v>
      </c>
      <c r="Z2" s="122" t="s">
        <v>218</v>
      </c>
      <c r="AA2" s="122" t="s">
        <v>219</v>
      </c>
      <c r="AB2" s="129" t="s">
        <v>220</v>
      </c>
    </row>
    <row r="3" spans="1:115" ht="19" thickBot="1" x14ac:dyDescent="0.5">
      <c r="A3" s="43" t="s">
        <v>232</v>
      </c>
      <c r="B3" s="43"/>
      <c r="C3" s="43"/>
      <c r="D3" s="43"/>
      <c r="E3" s="43"/>
      <c r="F3" s="43"/>
      <c r="I3" s="124" t="s">
        <v>255</v>
      </c>
      <c r="J3" s="125" t="s">
        <v>213</v>
      </c>
      <c r="K3" s="71">
        <v>8</v>
      </c>
      <c r="L3" s="71">
        <v>0</v>
      </c>
      <c r="M3" s="71">
        <v>0</v>
      </c>
      <c r="N3" s="71">
        <v>0</v>
      </c>
      <c r="O3" s="71">
        <v>7</v>
      </c>
      <c r="P3" s="71">
        <v>0</v>
      </c>
      <c r="Q3" s="71">
        <v>0</v>
      </c>
      <c r="R3" s="58">
        <v>0</v>
      </c>
      <c r="T3" s="124" t="s">
        <v>225</v>
      </c>
      <c r="U3" s="71">
        <f t="array" ref="U3:AB10">MINVERSE(K3:R10)</f>
        <v>0</v>
      </c>
      <c r="V3" s="71">
        <v>0</v>
      </c>
      <c r="W3" s="71">
        <v>0</v>
      </c>
      <c r="X3" s="71">
        <v>0</v>
      </c>
      <c r="Y3" s="71">
        <v>0</v>
      </c>
      <c r="Z3" s="71">
        <v>0</v>
      </c>
      <c r="AA3" s="71">
        <v>0</v>
      </c>
      <c r="AB3" s="58">
        <v>8.6956521739130432E-2</v>
      </c>
    </row>
    <row r="4" spans="1:115" ht="18.5" x14ac:dyDescent="0.45">
      <c r="I4" s="124" t="s">
        <v>191</v>
      </c>
      <c r="J4" s="125" t="s">
        <v>214</v>
      </c>
      <c r="K4" s="71">
        <v>8</v>
      </c>
      <c r="L4" s="71">
        <v>0</v>
      </c>
      <c r="M4" s="71">
        <v>0</v>
      </c>
      <c r="N4" s="71">
        <v>0</v>
      </c>
      <c r="O4" s="71">
        <v>5</v>
      </c>
      <c r="P4" s="71">
        <v>2</v>
      </c>
      <c r="Q4" s="71">
        <v>0</v>
      </c>
      <c r="R4" s="58">
        <v>0</v>
      </c>
      <c r="T4" s="124" t="s">
        <v>226</v>
      </c>
      <c r="U4" s="71">
        <v>7.1428571428571425E-2</v>
      </c>
      <c r="V4" s="71">
        <v>0</v>
      </c>
      <c r="W4" s="71">
        <v>1</v>
      </c>
      <c r="X4" s="71">
        <v>0</v>
      </c>
      <c r="Y4" s="71">
        <v>-0.25</v>
      </c>
      <c r="Z4" s="71">
        <v>-1</v>
      </c>
      <c r="AA4" s="71">
        <v>0</v>
      </c>
      <c r="AB4" s="58">
        <v>-6.2111801242236003E-3</v>
      </c>
      <c r="AE4" s="109" t="s">
        <v>239</v>
      </c>
      <c r="AF4" s="110"/>
      <c r="AG4" s="110"/>
      <c r="AH4" s="110"/>
      <c r="AI4" s="111" t="s">
        <v>167</v>
      </c>
      <c r="AJ4" s="112" t="s">
        <v>168</v>
      </c>
    </row>
    <row r="5" spans="1:115" ht="20.5" x14ac:dyDescent="0.45">
      <c r="A5" s="44" t="s">
        <v>241</v>
      </c>
      <c r="B5" s="44"/>
      <c r="C5" s="44"/>
      <c r="D5" s="44"/>
      <c r="E5" s="44"/>
      <c r="F5" s="44"/>
      <c r="I5" s="124" t="s">
        <v>193</v>
      </c>
      <c r="J5" s="125" t="s">
        <v>215</v>
      </c>
      <c r="K5" s="71">
        <v>-2</v>
      </c>
      <c r="L5" s="71">
        <v>1</v>
      </c>
      <c r="M5" s="71">
        <v>2</v>
      </c>
      <c r="N5" s="71">
        <v>0</v>
      </c>
      <c r="O5" s="71">
        <v>-1</v>
      </c>
      <c r="P5" s="71">
        <v>0</v>
      </c>
      <c r="Q5" s="71">
        <v>1</v>
      </c>
      <c r="R5" s="58">
        <v>0</v>
      </c>
      <c r="T5" s="124" t="s">
        <v>227</v>
      </c>
      <c r="U5" s="71">
        <v>7.1428571428571425E-2</v>
      </c>
      <c r="V5" s="71">
        <v>0</v>
      </c>
      <c r="W5" s="71">
        <v>0</v>
      </c>
      <c r="X5" s="71">
        <v>0</v>
      </c>
      <c r="Y5" s="71">
        <v>0.25</v>
      </c>
      <c r="Z5" s="71">
        <v>0</v>
      </c>
      <c r="AA5" s="71">
        <v>0</v>
      </c>
      <c r="AB5" s="58">
        <v>-6.2111801242236003E-3</v>
      </c>
      <c r="AE5" s="113">
        <v>0</v>
      </c>
      <c r="AF5" s="19">
        <v>0</v>
      </c>
      <c r="AG5" s="19">
        <v>0</v>
      </c>
      <c r="AH5" s="19"/>
      <c r="AI5" s="114">
        <f>AF5/COS(RADIANS(30))+AG5*TAN(RADIANS(30))</f>
        <v>0</v>
      </c>
      <c r="AJ5" s="115">
        <f>AG5</f>
        <v>0</v>
      </c>
    </row>
    <row r="6" spans="1:115" ht="17.5" x14ac:dyDescent="0.45">
      <c r="I6" s="124" t="s">
        <v>266</v>
      </c>
      <c r="J6" s="125" t="s">
        <v>216</v>
      </c>
      <c r="K6" s="71">
        <v>0</v>
      </c>
      <c r="L6" s="71">
        <v>0</v>
      </c>
      <c r="M6" s="71">
        <v>0</v>
      </c>
      <c r="N6" s="71">
        <v>0</v>
      </c>
      <c r="O6" s="71">
        <v>0</v>
      </c>
      <c r="P6" s="71">
        <v>0</v>
      </c>
      <c r="Q6" s="71">
        <v>-1</v>
      </c>
      <c r="R6" s="58">
        <v>1</v>
      </c>
      <c r="T6" s="124" t="s">
        <v>59</v>
      </c>
      <c r="U6" s="71">
        <v>0.14285714285714285</v>
      </c>
      <c r="V6" s="71">
        <v>0</v>
      </c>
      <c r="W6" s="71">
        <v>0</v>
      </c>
      <c r="X6" s="71">
        <v>0</v>
      </c>
      <c r="Y6" s="71">
        <v>0</v>
      </c>
      <c r="Z6" s="71">
        <v>0</v>
      </c>
      <c r="AA6" s="71">
        <v>1</v>
      </c>
      <c r="AB6" s="58">
        <v>-9.9378881987577633E-2</v>
      </c>
      <c r="AE6" s="113">
        <v>0</v>
      </c>
      <c r="AF6" s="19">
        <v>1</v>
      </c>
      <c r="AG6" s="19">
        <v>0</v>
      </c>
      <c r="AH6" s="19"/>
      <c r="AI6" s="114">
        <f>AF6/COS(RADIANS(30))+AG6*TAN(RADIANS(30))</f>
        <v>1.1547005383792515</v>
      </c>
      <c r="AJ6" s="115">
        <f>AG6</f>
        <v>0</v>
      </c>
    </row>
    <row r="7" spans="1:115" ht="18.5" x14ac:dyDescent="0.45">
      <c r="A7" s="42" t="s">
        <v>114</v>
      </c>
      <c r="B7" s="42"/>
      <c r="C7" s="42"/>
      <c r="D7" s="42"/>
      <c r="I7" s="124" t="s">
        <v>222</v>
      </c>
      <c r="J7" s="125" t="s">
        <v>217</v>
      </c>
      <c r="K7" s="71">
        <v>-2</v>
      </c>
      <c r="L7" s="71">
        <v>0</v>
      </c>
      <c r="M7" s="71">
        <v>4</v>
      </c>
      <c r="N7" s="71">
        <v>0</v>
      </c>
      <c r="O7" s="71">
        <v>-2</v>
      </c>
      <c r="P7" s="71">
        <v>0</v>
      </c>
      <c r="Q7" s="71">
        <v>0</v>
      </c>
      <c r="R7" s="58">
        <v>0</v>
      </c>
      <c r="T7" s="124" t="s">
        <v>61</v>
      </c>
      <c r="U7" s="71">
        <v>0.14285714285714285</v>
      </c>
      <c r="V7" s="71">
        <v>0</v>
      </c>
      <c r="W7" s="71">
        <v>0</v>
      </c>
      <c r="X7" s="71">
        <v>0</v>
      </c>
      <c r="Y7" s="71">
        <v>0</v>
      </c>
      <c r="Z7" s="71">
        <v>0</v>
      </c>
      <c r="AA7" s="71">
        <v>0</v>
      </c>
      <c r="AB7" s="58">
        <v>-9.9378881987577633E-2</v>
      </c>
      <c r="AE7" s="113">
        <v>0</v>
      </c>
      <c r="AF7" s="19">
        <v>0</v>
      </c>
      <c r="AG7" s="19">
        <v>1</v>
      </c>
      <c r="AH7" s="19"/>
      <c r="AI7" s="114">
        <f>AF7/COS(RADIANS(30))+AG7*TAN(RADIANS(30))</f>
        <v>0.57735026918962573</v>
      </c>
      <c r="AJ7" s="115">
        <f>AG7</f>
        <v>1</v>
      </c>
    </row>
    <row r="8" spans="1:115" ht="17.5" x14ac:dyDescent="0.45">
      <c r="I8" s="124" t="s">
        <v>192</v>
      </c>
      <c r="J8" s="125" t="s">
        <v>218</v>
      </c>
      <c r="K8" s="71">
        <v>-1</v>
      </c>
      <c r="L8" s="71">
        <v>0</v>
      </c>
      <c r="M8" s="71">
        <v>1</v>
      </c>
      <c r="N8" s="71">
        <v>0</v>
      </c>
      <c r="O8" s="71">
        <v>0</v>
      </c>
      <c r="P8" s="71">
        <v>0</v>
      </c>
      <c r="Q8" s="71">
        <v>1</v>
      </c>
      <c r="R8" s="58">
        <v>0</v>
      </c>
      <c r="T8" s="124" t="s">
        <v>172</v>
      </c>
      <c r="U8" s="71">
        <v>-0.35714285714285715</v>
      </c>
      <c r="V8" s="71">
        <v>0.5</v>
      </c>
      <c r="W8" s="71">
        <v>0</v>
      </c>
      <c r="X8" s="71">
        <v>0</v>
      </c>
      <c r="Y8" s="71">
        <v>0</v>
      </c>
      <c r="Z8" s="71">
        <v>0</v>
      </c>
      <c r="AA8" s="71">
        <v>0</v>
      </c>
      <c r="AB8" s="58">
        <v>-9.9378881987577633E-2</v>
      </c>
      <c r="AE8" s="113">
        <v>0</v>
      </c>
      <c r="AF8" s="19">
        <v>0</v>
      </c>
      <c r="AG8" s="19">
        <v>1</v>
      </c>
      <c r="AH8" s="19"/>
      <c r="AI8" s="114">
        <f>AF8/COS(RADIANS(30))+AG8*TAN(RADIANS(30))</f>
        <v>0.57735026918962573</v>
      </c>
      <c r="AJ8" s="115">
        <f>AG8</f>
        <v>1</v>
      </c>
    </row>
    <row r="9" spans="1:115" ht="18" thickBot="1" x14ac:dyDescent="0.5">
      <c r="I9" s="124" t="s">
        <v>223</v>
      </c>
      <c r="J9" s="125" t="s">
        <v>219</v>
      </c>
      <c r="K9" s="71">
        <v>0</v>
      </c>
      <c r="L9" s="71">
        <v>0</v>
      </c>
      <c r="M9" s="71">
        <v>0</v>
      </c>
      <c r="N9" s="71">
        <v>1</v>
      </c>
      <c r="O9" s="71">
        <v>-1</v>
      </c>
      <c r="P9" s="71">
        <v>0</v>
      </c>
      <c r="Q9" s="71">
        <v>0</v>
      </c>
      <c r="R9" s="58">
        <v>0</v>
      </c>
      <c r="T9" s="124" t="s">
        <v>229</v>
      </c>
      <c r="U9" s="71">
        <v>-7.1428571428571425E-2</v>
      </c>
      <c r="V9" s="71">
        <v>0</v>
      </c>
      <c r="W9" s="71">
        <v>0</v>
      </c>
      <c r="X9" s="71">
        <v>0</v>
      </c>
      <c r="Y9" s="71">
        <v>-0.25</v>
      </c>
      <c r="Z9" s="71">
        <v>1</v>
      </c>
      <c r="AA9" s="71">
        <v>0</v>
      </c>
      <c r="AB9" s="58">
        <v>9.3167701863354033E-2</v>
      </c>
      <c r="AE9" s="116">
        <v>1</v>
      </c>
      <c r="AF9" s="117">
        <v>0</v>
      </c>
      <c r="AG9" s="117">
        <v>0</v>
      </c>
      <c r="AH9" s="117"/>
      <c r="AI9" s="118">
        <f>AF9/COS(RADIANS(30))+AG9*TAN(RADIANS(30))</f>
        <v>0</v>
      </c>
      <c r="AJ9" s="119">
        <f>AG9</f>
        <v>0</v>
      </c>
    </row>
    <row r="10" spans="1:115" ht="18" thickBot="1" x14ac:dyDescent="0.5">
      <c r="I10" s="126" t="s">
        <v>224</v>
      </c>
      <c r="J10" s="127" t="s">
        <v>220</v>
      </c>
      <c r="K10" s="68">
        <v>11.5</v>
      </c>
      <c r="L10" s="68">
        <v>0</v>
      </c>
      <c r="M10" s="68">
        <v>0</v>
      </c>
      <c r="N10" s="68">
        <v>0</v>
      </c>
      <c r="O10" s="68">
        <v>0</v>
      </c>
      <c r="P10" s="68">
        <v>0</v>
      </c>
      <c r="Q10" s="68">
        <v>0</v>
      </c>
      <c r="R10" s="78">
        <v>0</v>
      </c>
      <c r="T10" s="126" t="s">
        <v>228</v>
      </c>
      <c r="U10" s="68">
        <v>-7.1428571428571425E-2</v>
      </c>
      <c r="V10" s="68">
        <v>0</v>
      </c>
      <c r="W10" s="68">
        <v>0</v>
      </c>
      <c r="X10" s="68">
        <v>1</v>
      </c>
      <c r="Y10" s="68">
        <v>-0.25</v>
      </c>
      <c r="Z10" s="68">
        <v>1</v>
      </c>
      <c r="AA10" s="68">
        <v>0</v>
      </c>
      <c r="AB10" s="78">
        <v>9.3167701863354033E-2</v>
      </c>
    </row>
    <row r="12" spans="1:115" ht="18" x14ac:dyDescent="0.4">
      <c r="D12" s="101" t="s">
        <v>175</v>
      </c>
      <c r="X12" s="104" t="s">
        <v>233</v>
      </c>
      <c r="AE12" s="104" t="s">
        <v>234</v>
      </c>
      <c r="AL12" s="104" t="s">
        <v>235</v>
      </c>
      <c r="AS12" s="104" t="s">
        <v>236</v>
      </c>
      <c r="AZ12" s="104" t="s">
        <v>237</v>
      </c>
      <c r="BG12" s="104" t="s">
        <v>238</v>
      </c>
      <c r="BN12" s="104" t="s">
        <v>251</v>
      </c>
      <c r="BU12" s="104" t="s">
        <v>256</v>
      </c>
    </row>
    <row r="13" spans="1:115" ht="20.5" thickBot="1" x14ac:dyDescent="0.45">
      <c r="A13" s="1"/>
      <c r="B13" s="67"/>
      <c r="C13" s="67"/>
      <c r="D13" s="27" t="s">
        <v>255</v>
      </c>
      <c r="E13" s="27" t="s">
        <v>191</v>
      </c>
      <c r="F13" s="27" t="s">
        <v>193</v>
      </c>
      <c r="G13" s="27" t="s">
        <v>221</v>
      </c>
      <c r="H13" s="27" t="s">
        <v>222</v>
      </c>
      <c r="I13" s="27" t="s">
        <v>192</v>
      </c>
      <c r="J13" s="27" t="s">
        <v>223</v>
      </c>
      <c r="K13" s="27" t="s">
        <v>224</v>
      </c>
      <c r="N13" s="101" t="s">
        <v>175</v>
      </c>
      <c r="O13" s="102"/>
      <c r="P13" s="102"/>
      <c r="Q13" s="102"/>
      <c r="R13" s="102"/>
      <c r="S13" s="102"/>
      <c r="T13" s="102"/>
      <c r="U13" s="102"/>
      <c r="X13" t="s">
        <v>176</v>
      </c>
      <c r="Y13" t="s">
        <v>177</v>
      </c>
      <c r="Z13" t="s">
        <v>178</v>
      </c>
      <c r="AE13" t="s">
        <v>176</v>
      </c>
      <c r="AF13" t="s">
        <v>177</v>
      </c>
      <c r="AG13" t="s">
        <v>178</v>
      </c>
      <c r="AL13" t="s">
        <v>176</v>
      </c>
      <c r="AM13" t="s">
        <v>177</v>
      </c>
      <c r="AN13" t="s">
        <v>178</v>
      </c>
      <c r="AS13" s="19" t="s">
        <v>176</v>
      </c>
      <c r="AT13" s="19" t="s">
        <v>177</v>
      </c>
      <c r="AU13" s="19" t="s">
        <v>178</v>
      </c>
      <c r="AV13" s="19"/>
      <c r="AW13" s="19"/>
      <c r="AX13" s="19"/>
      <c r="AZ13" t="s">
        <v>176</v>
      </c>
      <c r="BA13" t="s">
        <v>177</v>
      </c>
      <c r="BB13" t="s">
        <v>178</v>
      </c>
      <c r="BG13" t="s">
        <v>176</v>
      </c>
      <c r="BH13" t="s">
        <v>177</v>
      </c>
      <c r="BI13" t="s">
        <v>178</v>
      </c>
      <c r="BN13" s="19" t="s">
        <v>176</v>
      </c>
      <c r="BO13" s="19" t="s">
        <v>177</v>
      </c>
      <c r="BP13" s="19" t="s">
        <v>178</v>
      </c>
      <c r="BQ13" s="19"/>
      <c r="BR13" s="19"/>
      <c r="BS13" s="19"/>
      <c r="BU13" s="19" t="s">
        <v>176</v>
      </c>
      <c r="BV13" s="19" t="s">
        <v>177</v>
      </c>
      <c r="BW13" s="19" t="s">
        <v>178</v>
      </c>
      <c r="BX13" s="19"/>
      <c r="BY13" s="19"/>
      <c r="BZ13" s="19"/>
      <c r="CB13" s="15" t="s">
        <v>231</v>
      </c>
      <c r="CC13" s="67"/>
      <c r="CD13" s="67"/>
      <c r="CE13" s="67"/>
      <c r="CF13" s="67"/>
      <c r="CG13" s="67"/>
      <c r="CH13" s="67"/>
      <c r="CI13" s="67"/>
      <c r="CJ13" s="67"/>
      <c r="CK13" s="67"/>
      <c r="CL13" s="67"/>
      <c r="CM13" s="67" t="s">
        <v>23</v>
      </c>
      <c r="CN13" s="67" t="s">
        <v>13</v>
      </c>
      <c r="CO13" s="67"/>
    </row>
    <row r="14" spans="1:115" s="67" customFormat="1" ht="21" thickBot="1" x14ac:dyDescent="0.55000000000000004">
      <c r="A14" s="21" t="s">
        <v>72</v>
      </c>
      <c r="B14" s="1"/>
      <c r="C14"/>
      <c r="D14" s="106" t="s">
        <v>181</v>
      </c>
      <c r="E14" s="106" t="s">
        <v>182</v>
      </c>
      <c r="F14" s="106" t="s">
        <v>183</v>
      </c>
      <c r="G14" s="106" t="s">
        <v>184</v>
      </c>
      <c r="H14" s="106" t="s">
        <v>185</v>
      </c>
      <c r="I14" s="106" t="s">
        <v>186</v>
      </c>
      <c r="J14" s="106" t="s">
        <v>187</v>
      </c>
      <c r="K14" s="106" t="s">
        <v>188</v>
      </c>
      <c r="L14" s="67" t="s">
        <v>35</v>
      </c>
      <c r="N14" s="55" t="s">
        <v>181</v>
      </c>
      <c r="O14" s="55" t="s">
        <v>182</v>
      </c>
      <c r="P14" s="55" t="s">
        <v>183</v>
      </c>
      <c r="Q14" s="55" t="s">
        <v>184</v>
      </c>
      <c r="R14" s="55" t="s">
        <v>185</v>
      </c>
      <c r="S14" s="55" t="s">
        <v>186</v>
      </c>
      <c r="T14" s="55" t="s">
        <v>187</v>
      </c>
      <c r="U14" s="55" t="s">
        <v>188</v>
      </c>
      <c r="V14" s="67" t="s">
        <v>35</v>
      </c>
      <c r="X14" s="131" t="s">
        <v>243</v>
      </c>
      <c r="Y14" s="131" t="s">
        <v>218</v>
      </c>
      <c r="Z14" s="131" t="s">
        <v>216</v>
      </c>
      <c r="AA14" s="105"/>
      <c r="AB14" s="105" t="s">
        <v>167</v>
      </c>
      <c r="AC14" s="105" t="s">
        <v>168</v>
      </c>
      <c r="AE14" s="132" t="s">
        <v>242</v>
      </c>
      <c r="AF14" s="132" t="s">
        <v>217</v>
      </c>
      <c r="AG14" s="132" t="s">
        <v>216</v>
      </c>
      <c r="AH14" s="105"/>
      <c r="AI14" s="105" t="s">
        <v>167</v>
      </c>
      <c r="AJ14" s="105" t="s">
        <v>168</v>
      </c>
      <c r="AL14" s="131" t="s">
        <v>214</v>
      </c>
      <c r="AM14" s="132" t="s">
        <v>213</v>
      </c>
      <c r="AN14" s="132" t="s">
        <v>216</v>
      </c>
      <c r="AO14" s="105"/>
      <c r="AP14" s="105" t="s">
        <v>167</v>
      </c>
      <c r="AQ14" s="105" t="s">
        <v>168</v>
      </c>
      <c r="AS14" s="131" t="s">
        <v>243</v>
      </c>
      <c r="AT14" s="132" t="s">
        <v>215</v>
      </c>
      <c r="AU14" s="132" t="s">
        <v>217</v>
      </c>
      <c r="AV14" s="105"/>
      <c r="AW14" s="105" t="s">
        <v>167</v>
      </c>
      <c r="AX14" s="105" t="s">
        <v>168</v>
      </c>
      <c r="AZ14" s="132" t="s">
        <v>257</v>
      </c>
      <c r="BA14" s="132" t="s">
        <v>244</v>
      </c>
      <c r="BB14" s="131" t="s">
        <v>218</v>
      </c>
      <c r="BC14" s="105"/>
      <c r="BD14" s="105" t="s">
        <v>167</v>
      </c>
      <c r="BE14" s="105" t="s">
        <v>168</v>
      </c>
      <c r="BG14" s="133" t="s">
        <v>252</v>
      </c>
      <c r="BH14" s="133" t="s">
        <v>253</v>
      </c>
      <c r="BI14" s="133" t="s">
        <v>254</v>
      </c>
      <c r="BJ14" s="105"/>
      <c r="BK14" s="105" t="s">
        <v>167</v>
      </c>
      <c r="BL14" s="105" t="s">
        <v>168</v>
      </c>
      <c r="BM14" s="105"/>
      <c r="BN14" s="132" t="s">
        <v>243</v>
      </c>
      <c r="BO14" s="132" t="s">
        <v>216</v>
      </c>
      <c r="BP14" s="132" t="s">
        <v>217</v>
      </c>
      <c r="BQ14" s="105"/>
      <c r="BR14" s="105" t="s">
        <v>167</v>
      </c>
      <c r="BS14" s="105" t="s">
        <v>168</v>
      </c>
      <c r="BT14" s="105"/>
      <c r="BU14" s="132" t="s">
        <v>243</v>
      </c>
      <c r="BV14" s="133" t="s">
        <v>254</v>
      </c>
      <c r="BW14" s="132" t="s">
        <v>217</v>
      </c>
      <c r="BX14" s="105"/>
      <c r="BY14" s="105" t="s">
        <v>167</v>
      </c>
      <c r="BZ14" s="105" t="s">
        <v>168</v>
      </c>
      <c r="CB14" s="1" t="s">
        <v>4</v>
      </c>
      <c r="CC14" s="1" t="s">
        <v>5</v>
      </c>
      <c r="CD14" s="1" t="s">
        <v>29</v>
      </c>
      <c r="CE14" s="1" t="s">
        <v>10</v>
      </c>
      <c r="CF14" s="1" t="s">
        <v>11</v>
      </c>
      <c r="CG14" s="1" t="s">
        <v>12</v>
      </c>
      <c r="CH14" s="1" t="s">
        <v>30</v>
      </c>
      <c r="CI14" s="1" t="s">
        <v>6</v>
      </c>
      <c r="CJ14" s="1" t="s">
        <v>7</v>
      </c>
      <c r="CK14" s="1" t="s">
        <v>8</v>
      </c>
      <c r="CL14" s="1" t="s">
        <v>9</v>
      </c>
      <c r="CM14" t="s">
        <v>179</v>
      </c>
      <c r="CN14" t="s">
        <v>14</v>
      </c>
      <c r="CO14" t="s">
        <v>15</v>
      </c>
      <c r="CQ14" s="92" t="s">
        <v>169</v>
      </c>
      <c r="CR14" s="92" t="s">
        <v>170</v>
      </c>
      <c r="CS14" s="92" t="s">
        <v>171</v>
      </c>
      <c r="CT14" s="92" t="s">
        <v>59</v>
      </c>
      <c r="CU14" s="92" t="s">
        <v>61</v>
      </c>
      <c r="CV14" s="92" t="s">
        <v>172</v>
      </c>
      <c r="CW14" s="92" t="s">
        <v>180</v>
      </c>
      <c r="CX14" s="92" t="s">
        <v>174</v>
      </c>
      <c r="CY14" s="92"/>
      <c r="DA14"/>
      <c r="DB14"/>
      <c r="DC14"/>
      <c r="DD14"/>
      <c r="DE14"/>
      <c r="DF14"/>
      <c r="DG14"/>
      <c r="DH14"/>
      <c r="DI14"/>
      <c r="DJ14"/>
      <c r="DK14"/>
    </row>
    <row r="15" spans="1:115" ht="16" thickTop="1" x14ac:dyDescent="0.35">
      <c r="A15" s="103" t="str">
        <f>'Amphibole P-T calcs'!A15</f>
        <v>11211A</v>
      </c>
      <c r="B15" s="103" t="str">
        <f>'Amphibole P-T calcs'!B15</f>
        <v>Merapi (2010)</v>
      </c>
      <c r="D15" s="108">
        <f t="shared" ref="D15:D36" si="0">N15/$V15</f>
        <v>2.6858179628205223E-2</v>
      </c>
      <c r="E15" s="108">
        <f t="shared" ref="E15:E36" si="1">O15/$V15</f>
        <v>0.23533548390115916</v>
      </c>
      <c r="F15" s="108">
        <f t="shared" ref="F15:F36" si="2">P15/$V15</f>
        <v>6.9608154245020856E-2</v>
      </c>
      <c r="G15" s="108">
        <f t="shared" ref="G15:G36" si="3">Q15/$V15</f>
        <v>4.4331347011594573E-2</v>
      </c>
      <c r="H15" s="108">
        <f t="shared" ref="H15:H36" si="4">R15/$V15</f>
        <v>7.391205758183636E-2</v>
      </c>
      <c r="I15" s="108">
        <f t="shared" ref="I15:I36" si="5">S15/$V15</f>
        <v>0.13583760005450204</v>
      </c>
      <c r="J15" s="108">
        <f t="shared" ref="J15:J36" si="6">T15/$V15</f>
        <v>0.41411717757768179</v>
      </c>
      <c r="K15" s="108">
        <f t="shared" ref="K15:K36" si="7">U15/$V15</f>
        <v>-1.2372206392250418E-2</v>
      </c>
      <c r="L15" s="3">
        <f>SUM(D15:J15)</f>
        <v>1</v>
      </c>
      <c r="N15" s="108">
        <f t="array" ref="N15:U15">MMULT(CQ15:CX15,$U$3:$AB$10)</f>
        <v>6.7211478740769144E-3</v>
      </c>
      <c r="O15" s="108">
        <v>5.889172718377695E-2</v>
      </c>
      <c r="P15" s="108">
        <v>1.7419151424210032E-2</v>
      </c>
      <c r="Q15" s="108">
        <v>1.1093735422375519E-2</v>
      </c>
      <c r="R15" s="108">
        <v>1.8496185354390918E-2</v>
      </c>
      <c r="S15" s="108">
        <v>3.3992795098713696E-2</v>
      </c>
      <c r="T15" s="108">
        <v>0.10363110330724089</v>
      </c>
      <c r="U15" s="108">
        <v>-3.0960932513679636E-3</v>
      </c>
      <c r="V15" s="108">
        <f>SUM(N15:T15)</f>
        <v>0.25024584566478492</v>
      </c>
      <c r="X15">
        <f>(T15+O15)/(O15+S15+Q15+T15)</f>
        <v>0.78282997307399882</v>
      </c>
      <c r="Y15">
        <f>S15/(O15+S15+Q15+T15)</f>
        <v>0.16373440452297985</v>
      </c>
      <c r="Z15">
        <f>Q15/(O15+S15+Q15+T15)</f>
        <v>5.3435622403021472E-2</v>
      </c>
      <c r="AA15">
        <f>SUM(X15:Z15)</f>
        <v>1.0000000000000002</v>
      </c>
      <c r="AB15" s="100">
        <f>Y15/COS(RADIANS(30))+Z15*TAN(RADIANS(30))</f>
        <v>0.21991527603259065</v>
      </c>
      <c r="AC15" s="100">
        <f>Z15</f>
        <v>5.3435622403021472E-2</v>
      </c>
      <c r="AE15">
        <f>(N15+T15)/(R15+N15+Q15+T15)</f>
        <v>0.78855608454019666</v>
      </c>
      <c r="AF15">
        <f>R15/(R15+N15+Q15+T15)</f>
        <v>0.1321702035604459</v>
      </c>
      <c r="AG15">
        <f>Q15/(R15+N15+Q15+T15)</f>
        <v>7.927371189935753E-2</v>
      </c>
      <c r="AH15">
        <f>SUM(AE15:AG15)</f>
        <v>1.0000000000000002</v>
      </c>
      <c r="AI15" s="100">
        <f>AF15/COS(RADIANS(30))+AG15*TAN(RADIANS(30))</f>
        <v>0.19838570411369705</v>
      </c>
      <c r="AJ15" s="100">
        <f>AG15</f>
        <v>7.927371189935753E-2</v>
      </c>
      <c r="AL15">
        <f>(O15)/(N15+O15+Q15)</f>
        <v>0.7677529591658323</v>
      </c>
      <c r="AM15">
        <f>(N15)/(N15+O15+Q15)</f>
        <v>8.7621494835953495E-2</v>
      </c>
      <c r="AN15">
        <f>Q15/(Q15+O15+N15)</f>
        <v>0.14462554599821426</v>
      </c>
      <c r="AO15">
        <f>SUM(AL15:AN15)</f>
        <v>1</v>
      </c>
      <c r="AP15" s="100">
        <f>AM15/COS(RADIANS(30))+AN15*TAN(RADIANS(30))</f>
        <v>0.1846761851744359</v>
      </c>
      <c r="AQ15" s="100">
        <f>AN15</f>
        <v>0.14462554599821426</v>
      </c>
      <c r="AS15">
        <f>(T15+O15)/(O15+P15+R15+T15)</f>
        <v>0.8190099350705925</v>
      </c>
      <c r="AT15">
        <f>P15/(O15+P15+R15+T15)</f>
        <v>8.778125530933048E-2</v>
      </c>
      <c r="AU15">
        <f>R15/(R15+P15+O15+T15)</f>
        <v>9.3208809620077132E-2</v>
      </c>
      <c r="AV15">
        <f>SUM(AS15:AU15)</f>
        <v>1</v>
      </c>
      <c r="AW15" s="100">
        <f>AT15/COS(RADIANS(30))+AU15*TAN(RADIANS(30))</f>
        <v>0.15517519409028654</v>
      </c>
      <c r="AX15" s="100">
        <f>AU15</f>
        <v>9.3208809620077132E-2</v>
      </c>
      <c r="AY15" s="100"/>
      <c r="AZ15" s="100">
        <f>(O15+T15)/(S15+P15+O15+T15)</f>
        <v>0.75968401565878485</v>
      </c>
      <c r="BA15" s="100">
        <f>P15/(P15+O15+S15+T15)</f>
        <v>8.1422719893151696E-2</v>
      </c>
      <c r="BB15" s="100">
        <f>S15/(P15+O15+S15+T15)</f>
        <v>0.15889326444806343</v>
      </c>
      <c r="BC15" s="100">
        <f>SUM(BG15:BI15)</f>
        <v>1</v>
      </c>
      <c r="BD15" s="100">
        <f>BA15/COS(RADIANS(30))+BB15*TAN(RADIANS(30))</f>
        <v>0.18575592749843306</v>
      </c>
      <c r="BE15" s="100">
        <f>BB15</f>
        <v>0.15889326444806343</v>
      </c>
      <c r="BF15" s="100"/>
      <c r="BG15" s="100">
        <f>(O15)/(S15+P15+O15)</f>
        <v>0.5339054013773924</v>
      </c>
      <c r="BH15" s="100">
        <f>P15/(P15+O15+S15)</f>
        <v>0.15791995714057402</v>
      </c>
      <c r="BI15" s="100">
        <f>S15/(P15+O15+S15)</f>
        <v>0.30817464148203361</v>
      </c>
      <c r="BJ15" s="100">
        <f t="shared" ref="BJ15:BJ36" si="8">SUM(BG15:BI15)</f>
        <v>1</v>
      </c>
      <c r="BK15" s="100">
        <f>BH15/COS(RADIANS(30))+BI15*TAN(RADIANS(30))</f>
        <v>0.36027497174811762</v>
      </c>
      <c r="BL15" s="100">
        <f>BI15</f>
        <v>0.30817464148203361</v>
      </c>
      <c r="BM15" s="100"/>
      <c r="BN15" s="3">
        <f t="shared" ref="BN15:BN36" si="9">(O15+T15)/(O15+Q15+R15+T15)</f>
        <v>0.8459762791303671</v>
      </c>
      <c r="BO15" s="92">
        <f t="shared" ref="BO15:BO36" si="10">Q15/(Q15+O15+R15+T15)</f>
        <v>5.7745960896224212E-2</v>
      </c>
      <c r="BP15" s="3">
        <f t="shared" ref="BP15:BP36" si="11">R15/(R15+Q15+O15+T15)</f>
        <v>9.6277759973408789E-2</v>
      </c>
      <c r="BQ15">
        <f>SUM(BN15:BP15)</f>
        <v>1</v>
      </c>
      <c r="BR15" s="100">
        <f>BO15/COS(RADIANS(30))+BP15*TAN(RADIANS(30))</f>
        <v>0.12226528277371904</v>
      </c>
      <c r="BS15" s="100">
        <f>BP15</f>
        <v>9.6277759973408789E-2</v>
      </c>
      <c r="BT15" s="100"/>
      <c r="BU15" s="3">
        <f>(O15+T15)/(O15+T15+S15+R15)</f>
        <v>0.75587861791115496</v>
      </c>
      <c r="BV15" s="92">
        <f>S15/(S15+R15+T15+O15)</f>
        <v>0.15809733869711831</v>
      </c>
      <c r="BW15" s="3">
        <f>R15/(R15+S15+T15+O15)</f>
        <v>8.6024043391726659E-2</v>
      </c>
      <c r="BX15">
        <f>SUM(BU15:BW15)</f>
        <v>0.99999999999999989</v>
      </c>
      <c r="BY15" s="100">
        <f>BV15/COS(RADIANS(30))+BW15*TAN(RADIANS(30))</f>
        <v>0.23222108671888281</v>
      </c>
      <c r="BZ15" s="100">
        <f>BW15</f>
        <v>8.6024043391726659E-2</v>
      </c>
      <c r="CB15" s="103">
        <f>'Amphibole P-T calcs'!EU15</f>
        <v>6.0882528155923099</v>
      </c>
      <c r="CC15" s="103">
        <f>'Amphibole P-T calcs'!EV15</f>
        <v>0.27655609154553207</v>
      </c>
      <c r="CD15" s="103">
        <f>'Amphibole P-T calcs'!EW15</f>
        <v>2.2674233310011225</v>
      </c>
      <c r="CE15" s="103">
        <f>'Amphibole P-T calcs'!EX15</f>
        <v>0</v>
      </c>
      <c r="CF15" s="103">
        <f>'Amphibole P-T calcs'!EY15</f>
        <v>0</v>
      </c>
      <c r="CG15" s="103">
        <f>'Amphibole P-T calcs'!EZ15</f>
        <v>1.6453047680249748</v>
      </c>
      <c r="CH15" s="103">
        <f>'Amphibole P-T calcs'!FA15</f>
        <v>3.3048073324622694E-2</v>
      </c>
      <c r="CI15" s="103">
        <f>'Amphibole P-T calcs'!FB15</f>
        <v>2.9127767566778155</v>
      </c>
      <c r="CJ15" s="103">
        <f>'Amphibole P-T calcs'!FC15</f>
        <v>1.8699953284377322</v>
      </c>
      <c r="CK15" s="103">
        <f>'Amphibole P-T calcs'!FD15</f>
        <v>0.64011424027109087</v>
      </c>
      <c r="CL15" s="103">
        <f>'Amphibole P-T calcs'!FE15</f>
        <v>0.17613028524387678</v>
      </c>
      <c r="CM15">
        <f>CI15+CH15+CG15</f>
        <v>4.5911295980274129</v>
      </c>
      <c r="CN15">
        <f>SUM(CB15:CL15)-CE15-CH15</f>
        <v>15.876553616794453</v>
      </c>
      <c r="CO15">
        <f>SUM(CB15:CI15)</f>
        <v>13.223361836166376</v>
      </c>
      <c r="CQ15" s="3">
        <f t="shared" ref="CQ15:CQ36" si="12">CB15/CN15</f>
        <v>0.38347445941618374</v>
      </c>
      <c r="CR15" s="3">
        <f t="shared" ref="CR15:CR36" si="13">CC15/CN15</f>
        <v>1.7419151424210032E-2</v>
      </c>
      <c r="CS15" s="3">
        <f t="shared" ref="CS15:CS36" si="14">CD15/CN15</f>
        <v>0.14281583936469741</v>
      </c>
      <c r="CT15" s="3">
        <f t="shared" ref="CT15:CT36" si="15">(CG15)/CN15</f>
        <v>0.10363110330724089</v>
      </c>
      <c r="CU15" s="3">
        <f t="shared" ref="CU15:CU36" si="16">CI15/CN15</f>
        <v>0.1834640455971904</v>
      </c>
      <c r="CV15" s="3">
        <f t="shared" ref="CV15:CV36" si="17">CJ15/$CN15</f>
        <v>0.1177834543675539</v>
      </c>
      <c r="CW15" s="3">
        <f t="shared" ref="CW15:CW36" si="18">CK15/$CN15</f>
        <v>4.0318211100548208E-2</v>
      </c>
      <c r="CX15" s="3">
        <f t="shared" ref="CX15:CX36" si="19">CL15/$CN15</f>
        <v>1.1093735422375519E-2</v>
      </c>
      <c r="CY15" s="3">
        <f>SUM(CQ15:CX15)</f>
        <v>1.0000000000000002</v>
      </c>
    </row>
    <row r="16" spans="1:115" ht="15.5" x14ac:dyDescent="0.35">
      <c r="A16" s="103" t="str">
        <f>'Amphibole P-T calcs'!A16</f>
        <v>11211B</v>
      </c>
      <c r="B16" s="103" t="str">
        <f>'Amphibole P-T calcs'!B16</f>
        <v>Merapi (2010)</v>
      </c>
      <c r="D16" s="108">
        <f t="shared" si="0"/>
        <v>1.2723313587296498E-2</v>
      </c>
      <c r="E16" s="108">
        <f t="shared" si="1"/>
        <v>0.24897566250496442</v>
      </c>
      <c r="F16" s="108">
        <f t="shared" si="2"/>
        <v>6.0073613661637687E-2</v>
      </c>
      <c r="G16" s="108">
        <f t="shared" si="3"/>
        <v>4.064585260674685E-2</v>
      </c>
      <c r="H16" s="108">
        <f t="shared" si="4"/>
        <v>6.7995353453811525E-2</v>
      </c>
      <c r="I16" s="108">
        <f t="shared" si="5"/>
        <v>0.14859717503520986</v>
      </c>
      <c r="J16" s="108">
        <f t="shared" si="6"/>
        <v>0.42098902915033309</v>
      </c>
      <c r="K16" s="108">
        <f t="shared" si="7"/>
        <v>-1.1282329959268324E-3</v>
      </c>
      <c r="L16" s="3">
        <f t="shared" ref="L16:L36" si="20">SUM(D16:J16)</f>
        <v>0.99999999999999989</v>
      </c>
      <c r="N16" s="108">
        <f t="array" ref="N16:U16">MMULT(CQ16:CX16,$U$3:$AB$10)</f>
        <v>3.0872981208987012E-3</v>
      </c>
      <c r="O16" s="108">
        <v>6.0413672093137048E-2</v>
      </c>
      <c r="P16" s="108">
        <v>1.4576796626182737E-2</v>
      </c>
      <c r="Q16" s="108">
        <v>9.8626716628619129E-3</v>
      </c>
      <c r="R16" s="108">
        <v>1.6498998119278487E-2</v>
      </c>
      <c r="S16" s="108">
        <v>3.6056941936502156E-2</v>
      </c>
      <c r="T16" s="108">
        <v>0.10215252730330303</v>
      </c>
      <c r="U16" s="108">
        <v>-2.7376450201923729E-4</v>
      </c>
      <c r="V16" s="108">
        <f t="shared" ref="V16:V36" si="21">SUM(N16:T16)</f>
        <v>0.24264890586216409</v>
      </c>
      <c r="X16">
        <f t="shared" ref="X16:X36" si="22">(T16+O16)/(O16+S16+Q16+T16)</f>
        <v>0.77974705837519875</v>
      </c>
      <c r="Y16">
        <f t="shared" ref="Y16:Y36" si="23">S16/(O16+S16+Q16+T16)</f>
        <v>0.17294674116376357</v>
      </c>
      <c r="Z16">
        <f t="shared" ref="Z16:Z36" si="24">Q16/(O16+S16+Q16+T16)</f>
        <v>4.7306200461037617E-2</v>
      </c>
      <c r="AA16">
        <f t="shared" ref="AA16:AA36" si="25">SUM(X16:Z16)</f>
        <v>1</v>
      </c>
      <c r="AB16" s="100">
        <f t="shared" ref="AB16:AB36" si="26">Y16/COS(RADIANS(30))+Z16*TAN(RADIANS(30))</f>
        <v>0.22701394270325331</v>
      </c>
      <c r="AC16" s="100">
        <f t="shared" ref="AC16:AC36" si="27">Z16</f>
        <v>4.7306200461037617E-2</v>
      </c>
      <c r="AE16">
        <f t="shared" ref="AE16:AE36" si="28">(N16+T16)/(R16+N16+Q16+T16)</f>
        <v>0.79968563623986866</v>
      </c>
      <c r="AF16">
        <f t="shared" ref="AF16:AF36" si="29">R16/(R16+N16+Q16+T16)</f>
        <v>0.12537090170145249</v>
      </c>
      <c r="AG16">
        <f t="shared" ref="AG16:AG36" si="30">Q16/(R16+N16+Q16+T16)</f>
        <v>7.4943462058678897E-2</v>
      </c>
      <c r="AH16">
        <f t="shared" ref="AH16:AH36" si="31">SUM(AE16:AG16)</f>
        <v>1</v>
      </c>
      <c r="AI16" s="100">
        <f t="shared" ref="AI16:AI36" si="32">AF16/COS(RADIANS(30))+AG16*TAN(RADIANS(30))</f>
        <v>0.18803447568534015</v>
      </c>
      <c r="AJ16" s="100">
        <f t="shared" ref="AJ16:AJ36" si="33">AG16</f>
        <v>7.4943462058678897E-2</v>
      </c>
      <c r="AL16">
        <f t="shared" ref="AL16:AL36" si="34">(O16)/(N16+O16+Q16)</f>
        <v>0.82348245735278069</v>
      </c>
      <c r="AM16">
        <f t="shared" ref="AM16:AM36" si="35">(N16)/(N16+O16+Q16)</f>
        <v>4.2082127357841774E-2</v>
      </c>
      <c r="AN16">
        <f t="shared" ref="AN16:AN36" si="36">Q16/(Q16+O16+N16)</f>
        <v>0.13443541528937764</v>
      </c>
      <c r="AO16">
        <f t="shared" ref="AO16:AO36" si="37">SUM(AL16:AN16)</f>
        <v>1</v>
      </c>
      <c r="AP16" s="100">
        <f t="shared" ref="AP16:AP36" si="38">AM16/COS(RADIANS(30))+AN16*TAN(RADIANS(30))</f>
        <v>0.12620857832218543</v>
      </c>
      <c r="AQ16" s="100">
        <f t="shared" ref="AQ16:AQ36" si="39">AN16</f>
        <v>0.13443541528937764</v>
      </c>
      <c r="AS16">
        <f t="shared" ref="AS16:AS36" si="40">(T16+O16)/(O16+P16+R16+T16)</f>
        <v>0.83951934143639928</v>
      </c>
      <c r="AT16">
        <f t="shared" ref="AT16:AT36" si="41">P16/(O16+P16+R16+T16)</f>
        <v>7.5277042517444978E-2</v>
      </c>
      <c r="AU16">
        <f t="shared" ref="AU16:AU36" si="42">R16/(R16+P16+O16+T16)</f>
        <v>8.5203616046155686E-2</v>
      </c>
      <c r="AV16">
        <f t="shared" ref="AV16:AV36" si="43">SUM(AS16:AU16)</f>
        <v>0.99999999999999989</v>
      </c>
      <c r="AW16" s="100">
        <f t="shared" ref="AW16:AW36" si="44">AT16/COS(RADIANS(30))+AU16*TAN(RADIANS(30))</f>
        <v>0.13611477218266901</v>
      </c>
      <c r="AX16" s="100">
        <f t="shared" ref="AX16:AX36" si="45">AU16</f>
        <v>8.5203616046155686E-2</v>
      </c>
      <c r="AY16" s="100"/>
      <c r="AZ16" s="100">
        <f t="shared" ref="AZ16:AZ36" si="46">(O16+T16)/(S16+P16+O16+T16)</f>
        <v>0.76250584757490658</v>
      </c>
      <c r="BA16" s="100">
        <f t="shared" ref="BA16:BA36" si="47">P16/(P16+O16+S16+T16)</f>
        <v>6.8371486247699675E-2</v>
      </c>
      <c r="BB16" s="100">
        <f t="shared" ref="BB16:BB36" si="48">S16/(P16+O16+S16+T16)</f>
        <v>0.1691226661773938</v>
      </c>
      <c r="BC16" s="100">
        <f t="shared" ref="BC16:BC36" si="49">SUM(AZ16:BB16)</f>
        <v>1</v>
      </c>
      <c r="BD16" s="100">
        <f t="shared" ref="BD16:BD36" si="50">BA16/COS(RADIANS(30))+BB16*TAN(RADIANS(30))</f>
        <v>0.17659160882359393</v>
      </c>
      <c r="BE16" s="100">
        <f t="shared" ref="BE16:BE36" si="51">BB16</f>
        <v>0.1691226661773938</v>
      </c>
      <c r="BF16" s="100"/>
      <c r="BG16" s="100">
        <f t="shared" ref="BG16:BG36" si="52">(O16)/(S16+P16+O16)</f>
        <v>0.54403494630218752</v>
      </c>
      <c r="BH16" s="100">
        <f t="shared" ref="BH16:BH36" si="53">P16/(P16+O16+S16)</f>
        <v>0.1312664252150981</v>
      </c>
      <c r="BI16" s="100">
        <f t="shared" ref="BI16:BI36" si="54">S16/(P16+O16+S16)</f>
        <v>0.32469862848271447</v>
      </c>
      <c r="BJ16" s="100">
        <f t="shared" si="8"/>
        <v>1</v>
      </c>
      <c r="BK16" s="100">
        <f t="shared" ref="BK16:BK36" si="55">BH16/COS(RADIANS(30))+BI16*TAN(RADIANS(30))</f>
        <v>0.33903825242699104</v>
      </c>
      <c r="BL16" s="100">
        <f t="shared" ref="BL16:BL36" si="56">BI16</f>
        <v>0.32469862848271447</v>
      </c>
      <c r="BM16" s="100"/>
      <c r="BN16" s="3">
        <f t="shared" si="9"/>
        <v>0.86046701369810852</v>
      </c>
      <c r="BO16" s="92">
        <f t="shared" si="10"/>
        <v>5.220337108412211E-2</v>
      </c>
      <c r="BP16" s="3">
        <f t="shared" si="11"/>
        <v>8.7329615217769302E-2</v>
      </c>
      <c r="BQ16">
        <f t="shared" ref="BQ16:BQ36" si="57">SUM(BN16:BP16)</f>
        <v>0.99999999999999989</v>
      </c>
      <c r="BR16" s="100">
        <f t="shared" ref="BR16:BR36" si="58">BO16/COS(RADIANS(30))+BP16*TAN(RADIANS(30))</f>
        <v>0.11069903755025319</v>
      </c>
      <c r="BS16" s="100">
        <f t="shared" ref="BS16:BS36" si="59">BP16</f>
        <v>8.7329615217769302E-2</v>
      </c>
      <c r="BT16" s="100"/>
      <c r="BU16" s="3">
        <f t="shared" ref="BU16:BU36" si="60">(O16+T16)/(O16+T16+S16+R16)</f>
        <v>0.75569255591448092</v>
      </c>
      <c r="BV16" s="92">
        <f t="shared" ref="BV16:BV36" si="61">S16/(S16+R16+T16+O16)</f>
        <v>0.16761148819138866</v>
      </c>
      <c r="BW16" s="3">
        <f t="shared" ref="BW16:BW36" si="62">R16/(R16+S16+T16+O16)</f>
        <v>7.6695955894130391E-2</v>
      </c>
      <c r="BX16">
        <f t="shared" ref="BX16:BX36" si="63">SUM(BU16:BW16)</f>
        <v>0.99999999999999989</v>
      </c>
      <c r="BY16" s="100">
        <f t="shared" ref="BY16:BY36" si="64">BV16/COS(RADIANS(30))+BW16*TAN(RADIANS(30))</f>
        <v>0.23782150643437586</v>
      </c>
      <c r="BZ16" s="100">
        <f t="shared" ref="BZ16:BZ36" si="65">BW16</f>
        <v>7.6695955894130391E-2</v>
      </c>
      <c r="CB16" s="103">
        <f>'Amphibole P-T calcs'!EU16</f>
        <v>6.3995081510125091</v>
      </c>
      <c r="CC16" s="103">
        <f>'Amphibole P-T calcs'!EV16</f>
        <v>0.22939656592539218</v>
      </c>
      <c r="CD16" s="103">
        <f>'Amphibole P-T calcs'!EW16</f>
        <v>2.0648107842506862</v>
      </c>
      <c r="CE16" s="103">
        <f>'Amphibole P-T calcs'!EX16</f>
        <v>0</v>
      </c>
      <c r="CF16" s="103">
        <f>'Amphibole P-T calcs'!EY16</f>
        <v>0</v>
      </c>
      <c r="CG16" s="103">
        <f>'Amphibole P-T calcs'!EZ16</f>
        <v>1.6075849560723514</v>
      </c>
      <c r="CH16" s="103">
        <f>'Amphibole P-T calcs'!FA16</f>
        <v>0</v>
      </c>
      <c r="CI16" s="103">
        <f>'Amphibole P-T calcs'!FB16</f>
        <v>2.737502732977712</v>
      </c>
      <c r="CJ16" s="103">
        <f>'Amphibole P-T calcs'!FC16</f>
        <v>1.9014724933755969</v>
      </c>
      <c r="CK16" s="103">
        <f>'Amphibole P-T calcs'!FD16</f>
        <v>0.64161852399960684</v>
      </c>
      <c r="CL16" s="103">
        <f>'Amphibole P-T calcs'!FE16</f>
        <v>0.15520989064540971</v>
      </c>
      <c r="CM16">
        <f t="shared" ref="CM16:CM36" si="66">CI16+CH16+CG16</f>
        <v>4.3450876890500636</v>
      </c>
      <c r="CN16">
        <f t="shared" ref="CN16:CN36" si="67">SUM(CB16:CL16)-CE16-CH16</f>
        <v>15.737104098259264</v>
      </c>
      <c r="CO16">
        <f t="shared" ref="CO16:CO36" si="68">SUM(CB16:CI16)</f>
        <v>13.038803190238651</v>
      </c>
      <c r="CQ16" s="3">
        <f t="shared" si="12"/>
        <v>0.40665093851164019</v>
      </c>
      <c r="CR16" s="3">
        <f t="shared" si="13"/>
        <v>1.4576796626182737E-2</v>
      </c>
      <c r="CS16" s="3">
        <f t="shared" si="14"/>
        <v>0.13120652766598156</v>
      </c>
      <c r="CT16" s="3">
        <f t="shared" si="15"/>
        <v>0.10215252730330303</v>
      </c>
      <c r="CU16" s="3">
        <f t="shared" si="16"/>
        <v>0.17395212714393346</v>
      </c>
      <c r="CV16" s="3">
        <f t="shared" si="17"/>
        <v>0.1208273441862741</v>
      </c>
      <c r="CW16" s="3">
        <f t="shared" si="18"/>
        <v>4.0771066899822982E-2</v>
      </c>
      <c r="CX16" s="3">
        <f t="shared" si="19"/>
        <v>9.8626716628619129E-3</v>
      </c>
      <c r="CY16" s="3">
        <f t="shared" ref="CY16:CY36" si="69">SUM(CQ16:CX16)</f>
        <v>1</v>
      </c>
    </row>
    <row r="17" spans="1:103" ht="15.5" x14ac:dyDescent="0.35">
      <c r="A17" s="103" t="str">
        <f>'Amphibole P-T calcs'!A17</f>
        <v>11212A</v>
      </c>
      <c r="B17" s="103" t="str">
        <f>'Amphibole P-T calcs'!B17</f>
        <v>Merapi (2010)</v>
      </c>
      <c r="D17" s="108">
        <f t="shared" si="0"/>
        <v>4.056948540718068E-2</v>
      </c>
      <c r="E17" s="108">
        <f t="shared" si="1"/>
        <v>0.21052962038033923</v>
      </c>
      <c r="F17" s="108">
        <f t="shared" si="2"/>
        <v>8.4386508760753709E-2</v>
      </c>
      <c r="G17" s="108">
        <f t="shared" si="3"/>
        <v>4.8809908635212111E-2</v>
      </c>
      <c r="H17" s="108">
        <f t="shared" si="4"/>
        <v>6.4934475236763836E-2</v>
      </c>
      <c r="I17" s="108">
        <f t="shared" si="5"/>
        <v>0.11718734233453633</v>
      </c>
      <c r="J17" s="108">
        <f t="shared" si="6"/>
        <v>0.43358265924521405</v>
      </c>
      <c r="K17" s="108">
        <f t="shared" si="7"/>
        <v>-1.7619102179333393E-2</v>
      </c>
      <c r="L17" s="3">
        <f t="shared" si="20"/>
        <v>1</v>
      </c>
      <c r="N17" s="108">
        <f t="array" ref="N17:U17">MMULT(CQ17:CX17,$U$3:$AB$10)</f>
        <v>1.0774166415652243E-2</v>
      </c>
      <c r="O17" s="108">
        <v>5.5911016436022816E-2</v>
      </c>
      <c r="P17" s="108">
        <v>2.2410791744066134E-2</v>
      </c>
      <c r="Q17" s="108">
        <v>1.2962601647283316E-2</v>
      </c>
      <c r="R17" s="108">
        <v>1.7244853743945032E-2</v>
      </c>
      <c r="S17" s="108">
        <v>3.1121812747884343E-2</v>
      </c>
      <c r="T17" s="108">
        <v>0.11514791668572989</v>
      </c>
      <c r="U17" s="108">
        <v>-4.6791606319196623E-3</v>
      </c>
      <c r="V17" s="108">
        <f t="shared" si="21"/>
        <v>0.26557315942058379</v>
      </c>
      <c r="X17">
        <f t="shared" si="22"/>
        <v>0.79509283041298517</v>
      </c>
      <c r="Y17">
        <f t="shared" si="23"/>
        <v>0.14465617044206633</v>
      </c>
      <c r="Z17">
        <f t="shared" si="24"/>
        <v>6.0250999144948449E-2</v>
      </c>
      <c r="AA17">
        <f t="shared" si="25"/>
        <v>1</v>
      </c>
      <c r="AB17" s="100">
        <f t="shared" si="26"/>
        <v>0.20182048846461464</v>
      </c>
      <c r="AC17" s="100">
        <f t="shared" si="27"/>
        <v>6.0250999144948449E-2</v>
      </c>
      <c r="AE17">
        <f t="shared" si="28"/>
        <v>0.80652312379275981</v>
      </c>
      <c r="AF17">
        <f t="shared" si="29"/>
        <v>0.11045221750118232</v>
      </c>
      <c r="AG17">
        <f t="shared" si="30"/>
        <v>8.3024658706057908E-2</v>
      </c>
      <c r="AH17">
        <f t="shared" si="31"/>
        <v>1</v>
      </c>
      <c r="AI17" s="100">
        <f t="shared" si="32"/>
        <v>0.17547354406711674</v>
      </c>
      <c r="AJ17" s="100">
        <f t="shared" si="33"/>
        <v>8.3024658706057908E-2</v>
      </c>
      <c r="AL17">
        <f t="shared" si="34"/>
        <v>0.70197830093759872</v>
      </c>
      <c r="AM17">
        <f t="shared" si="35"/>
        <v>0.13527264422267951</v>
      </c>
      <c r="AN17">
        <f t="shared" si="36"/>
        <v>0.16274905483972174</v>
      </c>
      <c r="AO17">
        <f t="shared" si="37"/>
        <v>1</v>
      </c>
      <c r="AP17" s="100">
        <f t="shared" si="38"/>
        <v>0.25016260573398347</v>
      </c>
      <c r="AQ17" s="100">
        <f t="shared" si="39"/>
        <v>0.16274905483972174</v>
      </c>
      <c r="AS17">
        <f t="shared" si="40"/>
        <v>0.81180397792289416</v>
      </c>
      <c r="AT17">
        <f t="shared" si="41"/>
        <v>0.10635615196597357</v>
      </c>
      <c r="AU17">
        <f t="shared" si="42"/>
        <v>8.1839870111132196E-2</v>
      </c>
      <c r="AV17">
        <f t="shared" si="43"/>
        <v>1</v>
      </c>
      <c r="AW17" s="100">
        <f t="shared" si="44"/>
        <v>0.17005977697416136</v>
      </c>
      <c r="AX17" s="100">
        <f t="shared" si="45"/>
        <v>8.1839870111132196E-2</v>
      </c>
      <c r="AY17" s="100"/>
      <c r="AZ17" s="100">
        <f t="shared" si="46"/>
        <v>0.76164460575524262</v>
      </c>
      <c r="BA17" s="100">
        <f t="shared" si="47"/>
        <v>9.9784666787457649E-2</v>
      </c>
      <c r="BB17" s="100">
        <f t="shared" si="48"/>
        <v>0.1385707274572997</v>
      </c>
      <c r="BC17" s="100">
        <f t="shared" si="49"/>
        <v>1</v>
      </c>
      <c r="BD17" s="100">
        <f t="shared" si="50"/>
        <v>0.1952252552607458</v>
      </c>
      <c r="BE17" s="100">
        <f t="shared" si="51"/>
        <v>0.1385707274572997</v>
      </c>
      <c r="BF17" s="100"/>
      <c r="BG17" s="100">
        <f t="shared" si="52"/>
        <v>0.51086592312967061</v>
      </c>
      <c r="BH17" s="100">
        <f t="shared" si="53"/>
        <v>0.20477019632615276</v>
      </c>
      <c r="BI17" s="100">
        <f t="shared" si="54"/>
        <v>0.28436388054417655</v>
      </c>
      <c r="BJ17" s="100">
        <f t="shared" si="8"/>
        <v>1</v>
      </c>
      <c r="BK17" s="100">
        <f t="shared" si="55"/>
        <v>0.40062581892182048</v>
      </c>
      <c r="BL17" s="100">
        <f t="shared" si="56"/>
        <v>0.28436388054417655</v>
      </c>
      <c r="BM17" s="100"/>
      <c r="BN17" s="3">
        <f t="shared" si="9"/>
        <v>0.84991306489667517</v>
      </c>
      <c r="BO17" s="92">
        <f t="shared" si="10"/>
        <v>6.4405198220403637E-2</v>
      </c>
      <c r="BP17" s="3">
        <f t="shared" si="11"/>
        <v>8.5681736882921175E-2</v>
      </c>
      <c r="BQ17">
        <f t="shared" si="57"/>
        <v>0.99999999999999989</v>
      </c>
      <c r="BR17" s="100">
        <f t="shared" si="58"/>
        <v>0.12383709091351171</v>
      </c>
      <c r="BS17" s="100">
        <f t="shared" si="59"/>
        <v>8.5681736882921175E-2</v>
      </c>
      <c r="BT17" s="100"/>
      <c r="BU17" s="3">
        <f t="shared" si="60"/>
        <v>0.77957600855595177</v>
      </c>
      <c r="BV17" s="92">
        <f t="shared" si="61"/>
        <v>0.14183309879381073</v>
      </c>
      <c r="BW17" s="3">
        <f t="shared" si="62"/>
        <v>7.859089265023754E-2</v>
      </c>
      <c r="BX17">
        <f t="shared" si="63"/>
        <v>1</v>
      </c>
      <c r="BY17" s="100">
        <f t="shared" si="64"/>
        <v>0.20914922856467844</v>
      </c>
      <c r="BZ17" s="100">
        <f t="shared" si="65"/>
        <v>7.859089265023754E-2</v>
      </c>
      <c r="CB17" s="103">
        <f>'Amphibole P-T calcs'!EU17</f>
        <v>5.8910518769630125</v>
      </c>
      <c r="CC17" s="103">
        <f>'Amphibole P-T calcs'!EV17</f>
        <v>0.35755564850025134</v>
      </c>
      <c r="CD17" s="103">
        <f>'Amphibole P-T calcs'!EW17</f>
        <v>2.3121882679148849</v>
      </c>
      <c r="CE17" s="103">
        <f>'Amphibole P-T calcs'!EX17</f>
        <v>3.2587134263271848E-3</v>
      </c>
      <c r="CF17" s="103">
        <f>'Amphibole P-T calcs'!EY17</f>
        <v>0</v>
      </c>
      <c r="CG17" s="103">
        <f>'Amphibole P-T calcs'!EZ17</f>
        <v>1.8371411636949602</v>
      </c>
      <c r="CH17" s="103">
        <f>'Amphibole P-T calcs'!FA17</f>
        <v>6.2837219171919492E-2</v>
      </c>
      <c r="CI17" s="103">
        <f>'Amphibole P-T calcs'!FB17</f>
        <v>2.9185119802591424</v>
      </c>
      <c r="CJ17" s="103">
        <f>'Amphibole P-T calcs'!FC17</f>
        <v>1.7840779539066118</v>
      </c>
      <c r="CK17" s="103">
        <f>'Amphibole P-T calcs'!FD17</f>
        <v>0.64727894678789633</v>
      </c>
      <c r="CL17" s="103">
        <f>'Amphibole P-T calcs'!FE17</f>
        <v>0.20681337327013513</v>
      </c>
      <c r="CM17">
        <f t="shared" si="66"/>
        <v>4.8184903631260223</v>
      </c>
      <c r="CN17">
        <f t="shared" si="67"/>
        <v>15.954619211296892</v>
      </c>
      <c r="CO17">
        <f t="shared" si="68"/>
        <v>13.382544869930497</v>
      </c>
      <c r="CQ17" s="3">
        <f t="shared" si="12"/>
        <v>0.36923801182241756</v>
      </c>
      <c r="CR17" s="3">
        <f t="shared" si="13"/>
        <v>2.2410791744066134E-2</v>
      </c>
      <c r="CS17" s="3">
        <f t="shared" si="14"/>
        <v>0.14492281121179673</v>
      </c>
      <c r="CT17" s="3">
        <f t="shared" si="15"/>
        <v>0.11514791668572989</v>
      </c>
      <c r="CU17" s="3">
        <f t="shared" si="16"/>
        <v>0.18292583117199368</v>
      </c>
      <c r="CV17" s="3">
        <f t="shared" si="17"/>
        <v>0.11182203287204563</v>
      </c>
      <c r="CW17" s="3">
        <f t="shared" si="18"/>
        <v>4.0570002844667163E-2</v>
      </c>
      <c r="CX17" s="3">
        <f t="shared" si="19"/>
        <v>1.2962601647283316E-2</v>
      </c>
      <c r="CY17" s="3">
        <f t="shared" si="69"/>
        <v>1</v>
      </c>
    </row>
    <row r="18" spans="1:103" ht="15.5" x14ac:dyDescent="0.35">
      <c r="A18" s="103" t="str">
        <f>'Amphibole P-T calcs'!A18</f>
        <v>11212B</v>
      </c>
      <c r="B18" s="103" t="str">
        <f>'Amphibole P-T calcs'!B18</f>
        <v>Merapi (2010)</v>
      </c>
      <c r="D18" s="108">
        <f t="shared" si="0"/>
        <v>3.4515956525955273E-2</v>
      </c>
      <c r="E18" s="108">
        <f t="shared" si="1"/>
        <v>0.22847350716228515</v>
      </c>
      <c r="F18" s="108">
        <f t="shared" si="2"/>
        <v>7.9690628974512026E-2</v>
      </c>
      <c r="G18" s="108">
        <f t="shared" si="3"/>
        <v>4.6690361088815115E-2</v>
      </c>
      <c r="H18" s="108">
        <f t="shared" si="4"/>
        <v>5.2013660589149392E-2</v>
      </c>
      <c r="I18" s="108">
        <f t="shared" si="5"/>
        <v>0.13655765254048216</v>
      </c>
      <c r="J18" s="108">
        <f t="shared" si="6"/>
        <v>0.42205823311880086</v>
      </c>
      <c r="K18" s="108">
        <f t="shared" si="7"/>
        <v>-6.7987257305935963E-3</v>
      </c>
      <c r="L18" s="3">
        <f t="shared" si="20"/>
        <v>1</v>
      </c>
      <c r="N18" s="108">
        <f t="array" ref="N18:U18">MMULT(CQ18:CX18,$U$3:$AB$10)</f>
        <v>8.4537743219475266E-3</v>
      </c>
      <c r="O18" s="108">
        <v>5.5958567065681655E-2</v>
      </c>
      <c r="P18" s="108">
        <v>1.9518120334228003E-2</v>
      </c>
      <c r="Q18" s="108">
        <v>1.1435574018013081E-2</v>
      </c>
      <c r="R18" s="108">
        <v>1.2739376002759513E-2</v>
      </c>
      <c r="S18" s="108">
        <v>3.3446199749500069E-2</v>
      </c>
      <c r="T18" s="108">
        <v>0.10337204622514842</v>
      </c>
      <c r="U18" s="108">
        <v>-1.6651687737535587E-3</v>
      </c>
      <c r="V18" s="108">
        <f t="shared" si="21"/>
        <v>0.24492365771727828</v>
      </c>
      <c r="X18">
        <f t="shared" si="22"/>
        <v>0.78022012075746194</v>
      </c>
      <c r="Y18">
        <f t="shared" si="23"/>
        <v>0.16378144456018984</v>
      </c>
      <c r="Z18">
        <f t="shared" si="24"/>
        <v>5.5998434682348393E-2</v>
      </c>
      <c r="AA18">
        <f t="shared" si="25"/>
        <v>1.0000000000000002</v>
      </c>
      <c r="AB18" s="100">
        <f t="shared" si="26"/>
        <v>0.22144923354823423</v>
      </c>
      <c r="AC18" s="100">
        <f t="shared" si="27"/>
        <v>5.5998434682348393E-2</v>
      </c>
      <c r="AE18">
        <f t="shared" si="28"/>
        <v>0.82224402170788757</v>
      </c>
      <c r="AF18">
        <f t="shared" si="29"/>
        <v>9.3671351636953962E-2</v>
      </c>
      <c r="AG18">
        <f t="shared" si="30"/>
        <v>8.4084626655158395E-2</v>
      </c>
      <c r="AH18">
        <f t="shared" si="31"/>
        <v>0.99999999999999989</v>
      </c>
      <c r="AI18" s="100">
        <f t="shared" si="32"/>
        <v>0.15670864199996778</v>
      </c>
      <c r="AJ18" s="100">
        <f t="shared" si="33"/>
        <v>8.4084626655158395E-2</v>
      </c>
      <c r="AL18">
        <f t="shared" si="34"/>
        <v>0.73777330288393062</v>
      </c>
      <c r="AM18">
        <f t="shared" si="35"/>
        <v>0.1114569105391479</v>
      </c>
      <c r="AN18">
        <f t="shared" si="36"/>
        <v>0.15076978657692153</v>
      </c>
      <c r="AO18">
        <f t="shared" si="37"/>
        <v>1</v>
      </c>
      <c r="AP18" s="100">
        <f t="shared" si="38"/>
        <v>0.21574633147149019</v>
      </c>
      <c r="AQ18" s="100">
        <f t="shared" si="39"/>
        <v>0.15076978657692153</v>
      </c>
      <c r="AS18">
        <f t="shared" si="40"/>
        <v>0.8316310109241567</v>
      </c>
      <c r="AT18">
        <f t="shared" si="41"/>
        <v>0.10187542625763282</v>
      </c>
      <c r="AU18">
        <f t="shared" si="42"/>
        <v>6.649356281821063E-2</v>
      </c>
      <c r="AV18">
        <f t="shared" si="43"/>
        <v>1.0000000000000002</v>
      </c>
      <c r="AW18" s="100">
        <f t="shared" si="44"/>
        <v>0.15602568593977556</v>
      </c>
      <c r="AX18" s="100">
        <f t="shared" si="45"/>
        <v>6.649356281821063E-2</v>
      </c>
      <c r="AY18" s="100"/>
      <c r="AZ18" s="100">
        <f t="shared" si="46"/>
        <v>0.75051538328386969</v>
      </c>
      <c r="BA18" s="100">
        <f t="shared" si="47"/>
        <v>9.1938700674460347E-2</v>
      </c>
      <c r="BB18" s="100">
        <f t="shared" si="48"/>
        <v>0.15754591604167001</v>
      </c>
      <c r="BC18" s="100">
        <f t="shared" si="49"/>
        <v>1</v>
      </c>
      <c r="BD18" s="100">
        <f t="shared" si="50"/>
        <v>0.19712084420307258</v>
      </c>
      <c r="BE18" s="100">
        <f t="shared" si="51"/>
        <v>0.15754591604167001</v>
      </c>
      <c r="BF18" s="100"/>
      <c r="BG18" s="100">
        <f t="shared" si="52"/>
        <v>0.51374480175982828</v>
      </c>
      <c r="BH18" s="100">
        <f t="shared" si="53"/>
        <v>0.17919209493093</v>
      </c>
      <c r="BI18" s="100">
        <f t="shared" si="54"/>
        <v>0.30706310330924164</v>
      </c>
      <c r="BJ18" s="100">
        <f t="shared" si="8"/>
        <v>1</v>
      </c>
      <c r="BK18" s="100">
        <f t="shared" si="55"/>
        <v>0.3841961738438433</v>
      </c>
      <c r="BL18" s="100">
        <f t="shared" si="56"/>
        <v>0.30706310330924164</v>
      </c>
      <c r="BM18" s="100"/>
      <c r="BN18" s="3">
        <f t="shared" si="9"/>
        <v>0.86826039720810988</v>
      </c>
      <c r="BO18" s="92">
        <f t="shared" si="10"/>
        <v>6.2317315135535366E-2</v>
      </c>
      <c r="BP18" s="3">
        <f t="shared" si="11"/>
        <v>6.9422287656354831E-2</v>
      </c>
      <c r="BQ18">
        <f t="shared" si="57"/>
        <v>1</v>
      </c>
      <c r="BR18" s="100">
        <f t="shared" si="58"/>
        <v>0.11203881380350825</v>
      </c>
      <c r="BS18" s="100">
        <f t="shared" si="59"/>
        <v>6.9422287656354831E-2</v>
      </c>
      <c r="BT18" s="100"/>
      <c r="BU18" s="3">
        <f t="shared" si="60"/>
        <v>0.77527037666810728</v>
      </c>
      <c r="BV18" s="92">
        <f t="shared" si="61"/>
        <v>0.16274240927310868</v>
      </c>
      <c r="BW18" s="3">
        <f t="shared" si="62"/>
        <v>6.1987214058783977E-2</v>
      </c>
      <c r="BX18">
        <f t="shared" si="63"/>
        <v>0.99999999999999989</v>
      </c>
      <c r="BY18" s="100">
        <f t="shared" si="64"/>
        <v>0.22370708232794895</v>
      </c>
      <c r="BZ18" s="100">
        <f t="shared" si="65"/>
        <v>6.1987214058783977E-2</v>
      </c>
      <c r="CB18" s="103">
        <f>'Amphibole P-T calcs'!EU18</f>
        <v>6.2893125722831646</v>
      </c>
      <c r="CC18" s="103">
        <f>'Amphibole P-T calcs'!EV18</f>
        <v>0.30828535631772175</v>
      </c>
      <c r="CD18" s="103">
        <f>'Amphibole P-T calcs'!EW18</f>
        <v>1.9497127080109993</v>
      </c>
      <c r="CE18" s="103">
        <f>'Amphibole P-T calcs'!EX18</f>
        <v>1.1783588639318824E-3</v>
      </c>
      <c r="CF18" s="103">
        <f>'Amphibole P-T calcs'!EY18</f>
        <v>0</v>
      </c>
      <c r="CG18" s="103">
        <f>'Amphibole P-T calcs'!EZ18</f>
        <v>1.6327437047268496</v>
      </c>
      <c r="CH18" s="103">
        <f>'Amphibole P-T calcs'!FA18</f>
        <v>4.9231204600159513E-2</v>
      </c>
      <c r="CI18" s="103">
        <f>'Amphibole P-T calcs'!FB18</f>
        <v>3.0104995668340657</v>
      </c>
      <c r="CJ18" s="103">
        <f>'Amphibole P-T calcs'!FC18</f>
        <v>1.7677118996566668</v>
      </c>
      <c r="CK18" s="103">
        <f>'Amphibole P-T calcs'!FD18</f>
        <v>0.65593940702607689</v>
      </c>
      <c r="CL18" s="103">
        <f>'Amphibole P-T calcs'!FE18</f>
        <v>0.18062292631009563</v>
      </c>
      <c r="CM18">
        <f t="shared" si="66"/>
        <v>4.6924744761610748</v>
      </c>
      <c r="CN18">
        <f t="shared" si="67"/>
        <v>15.79482814116564</v>
      </c>
      <c r="CO18">
        <f t="shared" si="68"/>
        <v>13.240963471636892</v>
      </c>
      <c r="CQ18" s="3">
        <f t="shared" si="12"/>
        <v>0.39818809777939251</v>
      </c>
      <c r="CR18" s="3">
        <f t="shared" si="13"/>
        <v>1.9518120334228003E-2</v>
      </c>
      <c r="CS18" s="3">
        <f t="shared" si="14"/>
        <v>0.12343994442899413</v>
      </c>
      <c r="CT18" s="3">
        <f t="shared" si="15"/>
        <v>0.10337204622514842</v>
      </c>
      <c r="CU18" s="3">
        <f t="shared" si="16"/>
        <v>0.19060033701714557</v>
      </c>
      <c r="CV18" s="3">
        <f t="shared" si="17"/>
        <v>0.11191713413136331</v>
      </c>
      <c r="CW18" s="3">
        <f t="shared" si="18"/>
        <v>4.1528746065714987E-2</v>
      </c>
      <c r="CX18" s="3">
        <f t="shared" si="19"/>
        <v>1.1435574018013081E-2</v>
      </c>
      <c r="CY18" s="3">
        <f t="shared" si="69"/>
        <v>1</v>
      </c>
    </row>
    <row r="19" spans="1:103" ht="15.5" x14ac:dyDescent="0.35">
      <c r="A19" s="103">
        <f>'Amphibole P-T calcs'!A19</f>
        <v>10111123</v>
      </c>
      <c r="B19" s="103" t="str">
        <f>'Amphibole P-T calcs'!B19</f>
        <v>Merapi (2010)</v>
      </c>
      <c r="D19" s="108">
        <f t="shared" si="0"/>
        <v>2.8674352385033266E-2</v>
      </c>
      <c r="E19" s="108">
        <f t="shared" si="1"/>
        <v>0.23723967739742852</v>
      </c>
      <c r="F19" s="108">
        <f t="shared" si="2"/>
        <v>7.3025605355703654E-2</v>
      </c>
      <c r="G19" s="108">
        <f t="shared" si="3"/>
        <v>4.4543387086234988E-2</v>
      </c>
      <c r="H19" s="108">
        <f t="shared" si="4"/>
        <v>5.3684796579724553E-2</v>
      </c>
      <c r="I19" s="108">
        <f t="shared" si="5"/>
        <v>0.14406353245096198</v>
      </c>
      <c r="J19" s="108">
        <f t="shared" si="6"/>
        <v>0.41876864874491299</v>
      </c>
      <c r="K19" s="108">
        <f t="shared" si="7"/>
        <v>-9.4371899306792181E-4</v>
      </c>
      <c r="L19" s="3">
        <f t="shared" si="20"/>
        <v>0.99999999999999978</v>
      </c>
      <c r="N19" s="108">
        <f t="array" ref="N19:U19">MMULT(CQ19:CX19,$U$3:$AB$10)</f>
        <v>6.8354507558530111E-3</v>
      </c>
      <c r="O19" s="108">
        <v>5.6553679413907224E-2</v>
      </c>
      <c r="P19" s="108">
        <v>1.7407993129979427E-2</v>
      </c>
      <c r="Q19" s="108">
        <v>1.0618343697477196E-2</v>
      </c>
      <c r="R19" s="108">
        <v>1.2797491585205949E-2</v>
      </c>
      <c r="S19" s="108">
        <v>3.434215945176055E-2</v>
      </c>
      <c r="T19" s="108">
        <v>9.9826926800447732E-2</v>
      </c>
      <c r="U19" s="108">
        <v>-2.2496566331681026E-4</v>
      </c>
      <c r="V19" s="108">
        <f t="shared" si="21"/>
        <v>0.2383820448346311</v>
      </c>
      <c r="X19">
        <f t="shared" si="22"/>
        <v>0.7766948672759838</v>
      </c>
      <c r="Y19">
        <f t="shared" si="23"/>
        <v>0.17056705190664079</v>
      </c>
      <c r="Z19">
        <f t="shared" si="24"/>
        <v>5.2738080817375535E-2</v>
      </c>
      <c r="AA19">
        <f t="shared" si="25"/>
        <v>1.0000000000000002</v>
      </c>
      <c r="AB19" s="100">
        <f t="shared" si="26"/>
        <v>0.22740221182281584</v>
      </c>
      <c r="AC19" s="100">
        <f t="shared" si="27"/>
        <v>5.2738080817375535E-2</v>
      </c>
      <c r="AE19">
        <f t="shared" si="28"/>
        <v>0.81998649295967641</v>
      </c>
      <c r="AF19">
        <f t="shared" si="29"/>
        <v>9.8383052056897541E-2</v>
      </c>
      <c r="AG19">
        <f t="shared" si="30"/>
        <v>8.1630454983426123E-2</v>
      </c>
      <c r="AH19">
        <f t="shared" si="31"/>
        <v>1</v>
      </c>
      <c r="AI19" s="100">
        <f t="shared" si="32"/>
        <v>0.16073232833624621</v>
      </c>
      <c r="AJ19" s="100">
        <f t="shared" si="33"/>
        <v>8.1630454983426123E-2</v>
      </c>
      <c r="AL19">
        <f t="shared" si="34"/>
        <v>0.76416173203478466</v>
      </c>
      <c r="AM19">
        <f t="shared" si="35"/>
        <v>9.236162780147282E-2</v>
      </c>
      <c r="AN19">
        <f t="shared" si="36"/>
        <v>0.14347664016374242</v>
      </c>
      <c r="AO19">
        <f t="shared" si="37"/>
        <v>0.99999999999999989</v>
      </c>
      <c r="AP19" s="100">
        <f t="shared" si="38"/>
        <v>0.18948629816890444</v>
      </c>
      <c r="AQ19" s="100">
        <f t="shared" si="39"/>
        <v>0.14347664016374242</v>
      </c>
      <c r="AS19">
        <f t="shared" si="40"/>
        <v>0.83811502473358679</v>
      </c>
      <c r="AT19">
        <f t="shared" si="41"/>
        <v>9.3297378401872036E-2</v>
      </c>
      <c r="AU19">
        <f t="shared" si="42"/>
        <v>6.8587596864541259E-2</v>
      </c>
      <c r="AV19">
        <f t="shared" si="43"/>
        <v>1</v>
      </c>
      <c r="AW19" s="100">
        <f t="shared" si="44"/>
        <v>0.14732960058282682</v>
      </c>
      <c r="AX19" s="100">
        <f t="shared" si="45"/>
        <v>6.8587596864541259E-2</v>
      </c>
      <c r="AY19" s="100"/>
      <c r="AZ19" s="100">
        <f t="shared" si="46"/>
        <v>0.75135749813683494</v>
      </c>
      <c r="BA19" s="100">
        <f t="shared" si="47"/>
        <v>8.3639694731685393E-2</v>
      </c>
      <c r="BB19" s="100">
        <f t="shared" si="48"/>
        <v>0.16500280713147958</v>
      </c>
      <c r="BC19" s="100">
        <f t="shared" si="49"/>
        <v>1</v>
      </c>
      <c r="BD19" s="100">
        <f t="shared" si="50"/>
        <v>0.19184321565095699</v>
      </c>
      <c r="BE19" s="100">
        <f t="shared" si="51"/>
        <v>0.16500280713147958</v>
      </c>
      <c r="BF19" s="100"/>
      <c r="BG19" s="100">
        <f t="shared" si="52"/>
        <v>0.52217616285433144</v>
      </c>
      <c r="BH19" s="100">
        <f t="shared" si="53"/>
        <v>0.16073293815383249</v>
      </c>
      <c r="BI19" s="100">
        <f t="shared" si="54"/>
        <v>0.31709089899183607</v>
      </c>
      <c r="BJ19" s="100">
        <f t="shared" si="8"/>
        <v>1</v>
      </c>
      <c r="BK19" s="100">
        <f t="shared" si="55"/>
        <v>0.36867092611202629</v>
      </c>
      <c r="BL19" s="100">
        <f t="shared" si="56"/>
        <v>0.31709089899183607</v>
      </c>
      <c r="BM19" s="100"/>
      <c r="BN19" s="3">
        <f t="shared" si="9"/>
        <v>0.86976474568842399</v>
      </c>
      <c r="BO19" s="92">
        <f t="shared" si="10"/>
        <v>5.9057585395271124E-2</v>
      </c>
      <c r="BP19" s="3">
        <f t="shared" si="11"/>
        <v>7.1177668916304823E-2</v>
      </c>
      <c r="BQ19">
        <f t="shared" si="57"/>
        <v>1</v>
      </c>
      <c r="BR19" s="100">
        <f t="shared" si="58"/>
        <v>0.10928827196041682</v>
      </c>
      <c r="BS19" s="100">
        <f t="shared" si="59"/>
        <v>7.1177668916304823E-2</v>
      </c>
      <c r="BT19" s="100"/>
      <c r="BU19" s="3">
        <f t="shared" si="60"/>
        <v>0.76837857973638923</v>
      </c>
      <c r="BV19" s="92">
        <f t="shared" si="61"/>
        <v>0.16874074313571835</v>
      </c>
      <c r="BW19" s="3">
        <f t="shared" si="62"/>
        <v>6.2880677127892415E-2</v>
      </c>
      <c r="BX19">
        <f t="shared" si="63"/>
        <v>1</v>
      </c>
      <c r="BY19" s="100">
        <f t="shared" si="64"/>
        <v>0.23114920281194359</v>
      </c>
      <c r="BZ19" s="100">
        <f t="shared" si="65"/>
        <v>6.2880677127892415E-2</v>
      </c>
      <c r="CB19" s="103">
        <f>'Amphibole P-T calcs'!EU19</f>
        <v>6.4415890417734314</v>
      </c>
      <c r="CC19" s="103">
        <f>'Amphibole P-T calcs'!EV19</f>
        <v>0.27365197439800959</v>
      </c>
      <c r="CD19" s="103">
        <f>'Amphibole P-T calcs'!EW19</f>
        <v>1.8918607235393747</v>
      </c>
      <c r="CE19" s="103">
        <f>'Amphibole P-T calcs'!EX19</f>
        <v>0</v>
      </c>
      <c r="CF19" s="103">
        <f>'Amphibole P-T calcs'!EY19</f>
        <v>0</v>
      </c>
      <c r="CG19" s="103">
        <f>'Amphibole P-T calcs'!EZ19</f>
        <v>1.5692696689994836</v>
      </c>
      <c r="CH19" s="103">
        <f>'Amphibole P-T calcs'!FA19</f>
        <v>2.5678697600638744E-2</v>
      </c>
      <c r="CI19" s="103">
        <f>'Amphibole P-T calcs'!FB19</f>
        <v>2.9519880293952898</v>
      </c>
      <c r="CJ19" s="103">
        <f>'Amphibole P-T calcs'!FC19</f>
        <v>1.7780367806367663</v>
      </c>
      <c r="CK19" s="103">
        <f>'Amphibole P-T calcs'!FD19</f>
        <v>0.64658807179535027</v>
      </c>
      <c r="CL19" s="103">
        <f>'Amphibole P-T calcs'!FE19</f>
        <v>0.16691933963640818</v>
      </c>
      <c r="CM19">
        <f t="shared" si="66"/>
        <v>4.5469363959954121</v>
      </c>
      <c r="CN19">
        <f t="shared" si="67"/>
        <v>15.719903630174112</v>
      </c>
      <c r="CO19">
        <f t="shared" si="68"/>
        <v>13.154038135706228</v>
      </c>
      <c r="CQ19" s="3">
        <f t="shared" si="12"/>
        <v>0.40977280734780719</v>
      </c>
      <c r="CR19" s="3">
        <f t="shared" si="13"/>
        <v>1.7407993129979427E-2</v>
      </c>
      <c r="CS19" s="3">
        <f t="shared" si="14"/>
        <v>0.1203481120525432</v>
      </c>
      <c r="CT19" s="3">
        <f t="shared" si="15"/>
        <v>9.9826926800447732E-2</v>
      </c>
      <c r="CU19" s="3">
        <f t="shared" si="16"/>
        <v>0.18778664925966812</v>
      </c>
      <c r="CV19" s="3">
        <f t="shared" si="17"/>
        <v>0.11310735882781445</v>
      </c>
      <c r="CW19" s="3">
        <f t="shared" si="18"/>
        <v>4.113180888426278E-2</v>
      </c>
      <c r="CX19" s="3">
        <f t="shared" si="19"/>
        <v>1.0618343697477196E-2</v>
      </c>
      <c r="CY19" s="3">
        <f t="shared" si="69"/>
        <v>1</v>
      </c>
    </row>
    <row r="20" spans="1:103" ht="15.5" x14ac:dyDescent="0.35">
      <c r="A20" s="103">
        <f>'Amphibole P-T calcs'!A20</f>
        <v>10110511</v>
      </c>
      <c r="B20" s="103" t="str">
        <f>'Amphibole P-T calcs'!B20</f>
        <v>Merapi (2010)</v>
      </c>
      <c r="D20" s="108">
        <f t="shared" si="0"/>
        <v>4.1857956778074724E-2</v>
      </c>
      <c r="E20" s="108">
        <f t="shared" si="1"/>
        <v>0.21128491863095486</v>
      </c>
      <c r="F20" s="108">
        <f t="shared" si="2"/>
        <v>8.7070802216787813E-2</v>
      </c>
      <c r="G20" s="108">
        <f t="shared" si="3"/>
        <v>4.9660005751957836E-2</v>
      </c>
      <c r="H20" s="108">
        <f t="shared" si="4"/>
        <v>4.7011134728237924E-2</v>
      </c>
      <c r="I20" s="108">
        <f t="shared" si="5"/>
        <v>0.1267774981267154</v>
      </c>
      <c r="J20" s="108">
        <f t="shared" si="6"/>
        <v>0.43633768376727139</v>
      </c>
      <c r="K20" s="108">
        <f t="shared" si="7"/>
        <v>-1.2891579100665919E-2</v>
      </c>
      <c r="L20" s="3">
        <f t="shared" si="20"/>
        <v>1</v>
      </c>
      <c r="N20" s="108">
        <f t="array" ref="N20:U20">MMULT(CQ20:CX20,$U$3:$AB$10)</f>
        <v>1.083634298586288E-2</v>
      </c>
      <c r="O20" s="108">
        <v>5.4698222805381426E-2</v>
      </c>
      <c r="P20" s="108">
        <v>2.2541211982175988E-2</v>
      </c>
      <c r="Q20" s="108">
        <v>1.2856166340398477E-2</v>
      </c>
      <c r="R20" s="108">
        <v>1.2170416792456425E-2</v>
      </c>
      <c r="S20" s="108">
        <v>3.2820628581428472E-2</v>
      </c>
      <c r="T20" s="108">
        <v>0.11296071674085681</v>
      </c>
      <c r="U20" s="108">
        <v>-3.3374197767190457E-3</v>
      </c>
      <c r="V20" s="108">
        <f t="shared" si="21"/>
        <v>0.2588837062285605</v>
      </c>
      <c r="X20">
        <f t="shared" si="22"/>
        <v>0.78589243365290751</v>
      </c>
      <c r="Y20">
        <f t="shared" si="23"/>
        <v>0.15384496490128091</v>
      </c>
      <c r="Z20">
        <f t="shared" si="24"/>
        <v>6.026260144581147E-2</v>
      </c>
      <c r="AA20">
        <f t="shared" si="25"/>
        <v>0.99999999999999978</v>
      </c>
      <c r="AB20" s="100">
        <f t="shared" si="26"/>
        <v>0.21243749296525249</v>
      </c>
      <c r="AC20" s="100">
        <f t="shared" si="27"/>
        <v>6.026260144581147E-2</v>
      </c>
      <c r="AE20">
        <f t="shared" si="28"/>
        <v>0.83183731662536164</v>
      </c>
      <c r="AF20">
        <f t="shared" si="29"/>
        <v>8.1777441800292824E-2</v>
      </c>
      <c r="AG20">
        <f t="shared" si="30"/>
        <v>8.6385241574345559E-2</v>
      </c>
      <c r="AH20">
        <f t="shared" si="31"/>
        <v>1</v>
      </c>
      <c r="AI20" s="100">
        <f t="shared" si="32"/>
        <v>0.14430299855103529</v>
      </c>
      <c r="AJ20" s="100">
        <f t="shared" si="33"/>
        <v>8.6385241574345559E-2</v>
      </c>
      <c r="AL20">
        <f t="shared" si="34"/>
        <v>0.69776389782309778</v>
      </c>
      <c r="AM20">
        <f t="shared" si="35"/>
        <v>0.13823500165383376</v>
      </c>
      <c r="AN20">
        <f t="shared" si="36"/>
        <v>0.1640011005230684</v>
      </c>
      <c r="AO20">
        <f t="shared" si="37"/>
        <v>0.99999999999999989</v>
      </c>
      <c r="AP20" s="100">
        <f t="shared" si="38"/>
        <v>0.25430611036692696</v>
      </c>
      <c r="AQ20" s="100">
        <f t="shared" si="39"/>
        <v>0.1640011005230684</v>
      </c>
      <c r="AS20">
        <f t="shared" si="40"/>
        <v>0.82847491578125609</v>
      </c>
      <c r="AT20">
        <f t="shared" si="41"/>
        <v>0.11138582141270438</v>
      </c>
      <c r="AU20">
        <f t="shared" si="42"/>
        <v>6.0139262806039567E-2</v>
      </c>
      <c r="AV20">
        <f t="shared" si="43"/>
        <v>1</v>
      </c>
      <c r="AW20" s="100">
        <f t="shared" si="44"/>
        <v>0.16333868752299752</v>
      </c>
      <c r="AX20" s="100">
        <f t="shared" si="45"/>
        <v>6.0139262806039567E-2</v>
      </c>
      <c r="AY20" s="100"/>
      <c r="AZ20" s="100">
        <f t="shared" si="46"/>
        <v>0.75176375700803522</v>
      </c>
      <c r="BA20" s="100">
        <f t="shared" si="47"/>
        <v>0.10107224972970653</v>
      </c>
      <c r="BB20" s="100">
        <f t="shared" si="48"/>
        <v>0.14716399326225826</v>
      </c>
      <c r="BC20" s="100">
        <f t="shared" si="49"/>
        <v>1</v>
      </c>
      <c r="BD20" s="100">
        <f t="shared" si="50"/>
        <v>0.20167335230307937</v>
      </c>
      <c r="BE20" s="100">
        <f t="shared" si="51"/>
        <v>0.14716399326225826</v>
      </c>
      <c r="BF20" s="100"/>
      <c r="BG20" s="100">
        <f t="shared" si="52"/>
        <v>0.49698520181658357</v>
      </c>
      <c r="BH20" s="100">
        <f t="shared" si="53"/>
        <v>0.20480827733675408</v>
      </c>
      <c r="BI20" s="100">
        <f t="shared" si="54"/>
        <v>0.29820652084666238</v>
      </c>
      <c r="BJ20" s="100">
        <f t="shared" si="8"/>
        <v>1</v>
      </c>
      <c r="BK20" s="100">
        <f t="shared" si="55"/>
        <v>0.40866184319019927</v>
      </c>
      <c r="BL20" s="100">
        <f t="shared" si="56"/>
        <v>0.29820652084666238</v>
      </c>
      <c r="BM20" s="100"/>
      <c r="BN20" s="3">
        <f t="shared" si="9"/>
        <v>0.87011695126397604</v>
      </c>
      <c r="BO20" s="92">
        <f t="shared" si="10"/>
        <v>6.6720977070029788E-2</v>
      </c>
      <c r="BP20" s="3">
        <f t="shared" si="11"/>
        <v>6.3162071665994163E-2</v>
      </c>
      <c r="BQ20">
        <f t="shared" si="57"/>
        <v>1</v>
      </c>
      <c r="BR20" s="100">
        <f t="shared" si="58"/>
        <v>0.11350938722288925</v>
      </c>
      <c r="BS20" s="100">
        <f t="shared" si="59"/>
        <v>6.3162071665994163E-2</v>
      </c>
      <c r="BT20" s="100"/>
      <c r="BU20" s="3">
        <f t="shared" si="60"/>
        <v>0.78842676433396075</v>
      </c>
      <c r="BV20" s="92">
        <f t="shared" si="61"/>
        <v>0.15434108116093567</v>
      </c>
      <c r="BW20" s="3">
        <f t="shared" si="62"/>
        <v>5.7232154505103543E-2</v>
      </c>
      <c r="BX20">
        <f t="shared" si="63"/>
        <v>1</v>
      </c>
      <c r="BY20" s="100">
        <f t="shared" si="64"/>
        <v>0.21126072932039194</v>
      </c>
      <c r="BZ20" s="100">
        <f t="shared" si="65"/>
        <v>5.7232154505103543E-2</v>
      </c>
      <c r="CB20" s="103">
        <f>'Amphibole P-T calcs'!EU20</f>
        <v>6.0891812540861254</v>
      </c>
      <c r="CC20" s="103">
        <f>'Amphibole P-T calcs'!EV20</f>
        <v>0.35776540601648799</v>
      </c>
      <c r="CD20" s="103">
        <f>'Amphibole P-T calcs'!EW20</f>
        <v>2.0091037553946722</v>
      </c>
      <c r="CE20" s="103">
        <f>'Amphibole P-T calcs'!EX20</f>
        <v>2.4404993581388864E-2</v>
      </c>
      <c r="CF20" s="103">
        <f>'Amphibole P-T calcs'!EY20</f>
        <v>0</v>
      </c>
      <c r="CG20" s="103">
        <f>'Amphibole P-T calcs'!EZ20</f>
        <v>1.7928688448812</v>
      </c>
      <c r="CH20" s="103">
        <f>'Amphibole P-T calcs'!FA20</f>
        <v>7.9621270252558704E-2</v>
      </c>
      <c r="CI20" s="103">
        <f>'Amphibole P-T calcs'!FB20</f>
        <v>3.0077144603380916</v>
      </c>
      <c r="CJ20" s="103">
        <f>'Amphibole P-T calcs'!FC20</f>
        <v>1.7362981108399591</v>
      </c>
      <c r="CK20" s="103">
        <f>'Amphibole P-T calcs'!FD20</f>
        <v>0.67463363587080116</v>
      </c>
      <c r="CL20" s="103">
        <f>'Amphibole P-T calcs'!FE20</f>
        <v>0.20404810416694202</v>
      </c>
      <c r="CM20">
        <f t="shared" si="66"/>
        <v>4.8802045754718506</v>
      </c>
      <c r="CN20">
        <f t="shared" si="67"/>
        <v>15.871613571594279</v>
      </c>
      <c r="CO20">
        <f t="shared" si="68"/>
        <v>13.360659984550525</v>
      </c>
      <c r="CQ20" s="3">
        <f t="shared" si="12"/>
        <v>0.38365231276699213</v>
      </c>
      <c r="CR20" s="3">
        <f t="shared" si="13"/>
        <v>2.2541211982175988E-2</v>
      </c>
      <c r="CS20" s="3">
        <f t="shared" si="14"/>
        <v>0.12658471971560614</v>
      </c>
      <c r="CT20" s="3">
        <f t="shared" si="15"/>
        <v>0.11296071674085681</v>
      </c>
      <c r="CU20" s="3">
        <f t="shared" si="16"/>
        <v>0.18950275262000166</v>
      </c>
      <c r="CV20" s="3">
        <f t="shared" si="17"/>
        <v>0.10939644561076285</v>
      </c>
      <c r="CW20" s="3">
        <f t="shared" si="18"/>
        <v>4.2505674223205982E-2</v>
      </c>
      <c r="CX20" s="3">
        <f t="shared" si="19"/>
        <v>1.2856166340398477E-2</v>
      </c>
      <c r="CY20" s="3">
        <f t="shared" si="69"/>
        <v>1</v>
      </c>
    </row>
    <row r="21" spans="1:103" ht="15.5" x14ac:dyDescent="0.35">
      <c r="A21" s="103">
        <f>'Amphibole P-T calcs'!A21</f>
        <v>7.6</v>
      </c>
      <c r="B21" s="103" t="str">
        <f>'Amphibole P-T calcs'!B21</f>
        <v>Merapi (2010)</v>
      </c>
      <c r="D21" s="108">
        <f t="shared" si="0"/>
        <v>3.3076848038181735E-2</v>
      </c>
      <c r="E21" s="108">
        <f t="shared" si="1"/>
        <v>0.2253651479482767</v>
      </c>
      <c r="F21" s="108">
        <f t="shared" si="2"/>
        <v>7.731692513795882E-2</v>
      </c>
      <c r="G21" s="108">
        <f t="shared" si="3"/>
        <v>4.8081174853008501E-2</v>
      </c>
      <c r="H21" s="108">
        <f t="shared" si="4"/>
        <v>5.3666550319089526E-2</v>
      </c>
      <c r="I21" s="108">
        <f t="shared" si="5"/>
        <v>0.13905619106855285</v>
      </c>
      <c r="J21" s="108">
        <f t="shared" si="6"/>
        <v>0.42343716263493181</v>
      </c>
      <c r="K21" s="108">
        <f t="shared" si="7"/>
        <v>-4.9825770047109454E-3</v>
      </c>
      <c r="L21" s="3">
        <f t="shared" si="20"/>
        <v>1</v>
      </c>
      <c r="N21" s="108">
        <f t="array" ref="N21:U21">MMULT(CQ21:CX21,$U$3:$AB$10)</f>
        <v>8.1960552082640317E-3</v>
      </c>
      <c r="O21" s="108">
        <v>5.5842841871465217E-2</v>
      </c>
      <c r="P21" s="108">
        <v>1.915822771965555E-2</v>
      </c>
      <c r="Q21" s="108">
        <v>1.1913951508274264E-2</v>
      </c>
      <c r="R21" s="108">
        <v>1.3297942075514539E-2</v>
      </c>
      <c r="S21" s="108">
        <v>3.445649409318452E-2</v>
      </c>
      <c r="T21" s="108">
        <v>0.10492276525805734</v>
      </c>
      <c r="U21" s="108">
        <v>-1.2346241746764278E-3</v>
      </c>
      <c r="V21" s="108">
        <f t="shared" si="21"/>
        <v>0.24778827773441547</v>
      </c>
      <c r="X21">
        <f t="shared" si="22"/>
        <v>0.77613532270172902</v>
      </c>
      <c r="Y21">
        <f t="shared" si="23"/>
        <v>0.16634715994098337</v>
      </c>
      <c r="Z21">
        <f t="shared" si="24"/>
        <v>5.751751735728762E-2</v>
      </c>
      <c r="AA21">
        <f t="shared" si="25"/>
        <v>1</v>
      </c>
      <c r="AB21" s="100">
        <f t="shared" si="26"/>
        <v>0.22528890927106193</v>
      </c>
      <c r="AC21" s="100">
        <f t="shared" si="27"/>
        <v>5.751751735728762E-2</v>
      </c>
      <c r="AE21">
        <f t="shared" si="28"/>
        <v>0.81774189660688223</v>
      </c>
      <c r="AF21">
        <f t="shared" si="29"/>
        <v>9.6131521960461888E-2</v>
      </c>
      <c r="AG21">
        <f t="shared" si="30"/>
        <v>8.6126581432656002E-2</v>
      </c>
      <c r="AH21">
        <f t="shared" si="31"/>
        <v>1.0000000000000002</v>
      </c>
      <c r="AI21" s="100">
        <f t="shared" si="32"/>
        <v>0.16072832513748836</v>
      </c>
      <c r="AJ21" s="100">
        <f t="shared" si="33"/>
        <v>8.6126581432656002E-2</v>
      </c>
      <c r="AL21">
        <f t="shared" si="34"/>
        <v>0.73523038186990919</v>
      </c>
      <c r="AM21">
        <f t="shared" si="35"/>
        <v>0.10790978035231413</v>
      </c>
      <c r="AN21">
        <f t="shared" si="36"/>
        <v>0.15685983777777662</v>
      </c>
      <c r="AO21">
        <f t="shared" si="37"/>
        <v>1</v>
      </c>
      <c r="AP21" s="100">
        <f t="shared" si="38"/>
        <v>0.21516655103524426</v>
      </c>
      <c r="AQ21" s="100">
        <f t="shared" si="39"/>
        <v>0.15685983777777662</v>
      </c>
      <c r="AS21">
        <f t="shared" si="40"/>
        <v>0.83202633620422739</v>
      </c>
      <c r="AT21">
        <f t="shared" si="41"/>
        <v>9.9151493297374993E-2</v>
      </c>
      <c r="AU21">
        <f t="shared" si="42"/>
        <v>6.8822170498397561E-2</v>
      </c>
      <c r="AV21">
        <f t="shared" si="43"/>
        <v>1</v>
      </c>
      <c r="AW21" s="100">
        <f t="shared" si="44"/>
        <v>0.1542247813550498</v>
      </c>
      <c r="AX21" s="100">
        <f t="shared" si="45"/>
        <v>6.8822170498397561E-2</v>
      </c>
      <c r="AY21" s="100"/>
      <c r="AZ21" s="100">
        <f t="shared" si="46"/>
        <v>0.7499083890889322</v>
      </c>
      <c r="BA21" s="100">
        <f t="shared" si="47"/>
        <v>8.9365604643728058E-2</v>
      </c>
      <c r="BB21" s="100">
        <f t="shared" si="48"/>
        <v>0.16072600626733968</v>
      </c>
      <c r="BC21" s="100">
        <f t="shared" si="49"/>
        <v>1</v>
      </c>
      <c r="BD21" s="100">
        <f t="shared" si="50"/>
        <v>0.19598571477892218</v>
      </c>
      <c r="BE21" s="100">
        <f t="shared" si="51"/>
        <v>0.16072600626733968</v>
      </c>
      <c r="BF21" s="100"/>
      <c r="BG21" s="100">
        <f t="shared" si="52"/>
        <v>0.51017800864384044</v>
      </c>
      <c r="BH21" s="100">
        <f t="shared" si="53"/>
        <v>0.17502881550434671</v>
      </c>
      <c r="BI21" s="100">
        <f t="shared" si="54"/>
        <v>0.31479317585181288</v>
      </c>
      <c r="BJ21" s="100">
        <f t="shared" si="8"/>
        <v>1</v>
      </c>
      <c r="BK21" s="100">
        <f t="shared" si="55"/>
        <v>0.38385179231185318</v>
      </c>
      <c r="BL21" s="100">
        <f t="shared" si="56"/>
        <v>0.31479317585181288</v>
      </c>
      <c r="BM21" s="100"/>
      <c r="BN21" s="3">
        <f t="shared" si="9"/>
        <v>0.86443578665650789</v>
      </c>
      <c r="BO21" s="92">
        <f t="shared" si="10"/>
        <v>6.4061251831961624E-2</v>
      </c>
      <c r="BP21" s="3">
        <f t="shared" si="11"/>
        <v>7.1502961511530502E-2</v>
      </c>
      <c r="BQ21">
        <f t="shared" si="57"/>
        <v>1</v>
      </c>
      <c r="BR21" s="100">
        <f t="shared" si="58"/>
        <v>0.11525381605615248</v>
      </c>
      <c r="BS21" s="100">
        <f t="shared" si="59"/>
        <v>7.1502961511530502E-2</v>
      </c>
      <c r="BT21" s="100"/>
      <c r="BU21" s="3">
        <f t="shared" si="60"/>
        <v>0.7709839523656653</v>
      </c>
      <c r="BV21" s="92">
        <f t="shared" si="61"/>
        <v>0.16524307950533784</v>
      </c>
      <c r="BW21" s="3">
        <f t="shared" si="62"/>
        <v>6.3772968128996896E-2</v>
      </c>
      <c r="BX21">
        <f t="shared" si="63"/>
        <v>1</v>
      </c>
      <c r="BY21" s="100">
        <f t="shared" si="64"/>
        <v>0.22762561318455682</v>
      </c>
      <c r="BZ21" s="100">
        <f t="shared" si="65"/>
        <v>6.3772968128996896E-2</v>
      </c>
      <c r="CB21" s="103">
        <f>'Amphibole P-T calcs'!EU21</f>
        <v>6.2928561017780291</v>
      </c>
      <c r="CC21" s="103">
        <f>'Amphibole P-T calcs'!EV21</f>
        <v>0.30234917725092286</v>
      </c>
      <c r="CD21" s="103">
        <f>'Amphibole P-T calcs'!EW21</f>
        <v>1.9879359070801741</v>
      </c>
      <c r="CE21" s="103">
        <f>'Amphibole P-T calcs'!EX21</f>
        <v>1.1770702895585023E-3</v>
      </c>
      <c r="CF21" s="103">
        <f>'Amphibole P-T calcs'!EY21</f>
        <v>0</v>
      </c>
      <c r="CG21" s="103">
        <f>'Amphibole P-T calcs'!EZ21</f>
        <v>1.6558583713940589</v>
      </c>
      <c r="CH21" s="103">
        <f>'Amphibole P-T calcs'!FA21</f>
        <v>5.0438326820904725E-2</v>
      </c>
      <c r="CI21" s="103">
        <f>'Amphibole P-T calcs'!FB21</f>
        <v>2.9339692225353691</v>
      </c>
      <c r="CJ21" s="103">
        <f>'Amphibole P-T calcs'!FC21</f>
        <v>1.7625886425672423</v>
      </c>
      <c r="CK21" s="103">
        <f>'Amphibole P-T calcs'!FD21</f>
        <v>0.65810855663750689</v>
      </c>
      <c r="CL21" s="103">
        <f>'Amphibole P-T calcs'!FE21</f>
        <v>0.18802226850234346</v>
      </c>
      <c r="CM21">
        <f t="shared" si="66"/>
        <v>4.6402659207503323</v>
      </c>
      <c r="CN21">
        <f t="shared" si="67"/>
        <v>15.781688247745647</v>
      </c>
      <c r="CO21">
        <f t="shared" si="68"/>
        <v>13.224584177149017</v>
      </c>
      <c r="CQ21" s="3">
        <f t="shared" si="12"/>
        <v>0.39874416494553039</v>
      </c>
      <c r="CR21" s="3">
        <f t="shared" si="13"/>
        <v>1.915822771965555E-2</v>
      </c>
      <c r="CS21" s="3">
        <f t="shared" si="14"/>
        <v>0.12596471783455379</v>
      </c>
      <c r="CT21" s="3">
        <f t="shared" si="15"/>
        <v>0.10492276525805734</v>
      </c>
      <c r="CU21" s="3">
        <f t="shared" si="16"/>
        <v>0.18590971868643238</v>
      </c>
      <c r="CV21" s="3">
        <f t="shared" si="17"/>
        <v>0.11168568374293043</v>
      </c>
      <c r="CW21" s="3">
        <f t="shared" si="18"/>
        <v>4.1700770304565808E-2</v>
      </c>
      <c r="CX21" s="3">
        <f t="shared" si="19"/>
        <v>1.1913951508274264E-2</v>
      </c>
      <c r="CY21" s="3">
        <f t="shared" si="69"/>
        <v>0.99999999999999978</v>
      </c>
    </row>
    <row r="22" spans="1:103" ht="15.5" x14ac:dyDescent="0.35">
      <c r="A22" s="103">
        <f>'Amphibole P-T calcs'!A22</f>
        <v>9.8000000000000007</v>
      </c>
      <c r="B22" s="103" t="str">
        <f>'Amphibole P-T calcs'!B22</f>
        <v>Merapi (2010)</v>
      </c>
      <c r="D22" s="108">
        <f t="shared" si="0"/>
        <v>2.5258559580614459E-2</v>
      </c>
      <c r="E22" s="108">
        <f t="shared" si="1"/>
        <v>0.23610007966775906</v>
      </c>
      <c r="F22" s="108">
        <f t="shared" si="2"/>
        <v>6.3291905164662834E-2</v>
      </c>
      <c r="G22" s="108">
        <f t="shared" si="3"/>
        <v>4.0918206616850347E-2</v>
      </c>
      <c r="H22" s="108">
        <f t="shared" si="4"/>
        <v>6.4439754573635821E-2</v>
      </c>
      <c r="I22" s="108">
        <f t="shared" si="5"/>
        <v>0.15126755907779368</v>
      </c>
      <c r="J22" s="108">
        <f t="shared" si="6"/>
        <v>0.41872393531868374</v>
      </c>
      <c r="K22" s="108">
        <f t="shared" si="7"/>
        <v>2.7868262180268904E-3</v>
      </c>
      <c r="L22" s="3">
        <f t="shared" si="20"/>
        <v>1</v>
      </c>
      <c r="N22" s="108">
        <f t="array" ref="N22:U22">MMULT(CQ22:CX22,$U$3:$AB$10)</f>
        <v>6.0615874778619429E-3</v>
      </c>
      <c r="O22" s="108">
        <v>5.6659655586008689E-2</v>
      </c>
      <c r="P22" s="108">
        <v>1.5188887496600979E-2</v>
      </c>
      <c r="Q22" s="108">
        <v>9.8196133494336812E-3</v>
      </c>
      <c r="R22" s="108">
        <v>1.5464350140529493E-2</v>
      </c>
      <c r="S22" s="108">
        <v>3.6301418494838415E-2</v>
      </c>
      <c r="T22" s="108">
        <v>0.10048600574027915</v>
      </c>
      <c r="U22" s="108">
        <v>6.6878678700007697E-4</v>
      </c>
      <c r="V22" s="108">
        <f t="shared" si="21"/>
        <v>0.23998151828555236</v>
      </c>
      <c r="X22">
        <f t="shared" si="22"/>
        <v>0.77310088964957857</v>
      </c>
      <c r="Y22">
        <f t="shared" si="23"/>
        <v>0.17859009721960742</v>
      </c>
      <c r="Z22">
        <f t="shared" si="24"/>
        <v>4.8309013130813802E-2</v>
      </c>
      <c r="AA22">
        <f t="shared" si="25"/>
        <v>0.99999999999999978</v>
      </c>
      <c r="AB22" s="100">
        <f t="shared" si="26"/>
        <v>0.23410930314404407</v>
      </c>
      <c r="AC22" s="100">
        <f t="shared" si="27"/>
        <v>4.8309013130813802E-2</v>
      </c>
      <c r="AE22">
        <f t="shared" si="28"/>
        <v>0.80821008170338282</v>
      </c>
      <c r="AF22">
        <f t="shared" si="29"/>
        <v>0.11730385748815808</v>
      </c>
      <c r="AG22">
        <f t="shared" si="30"/>
        <v>7.4486060808459126E-2</v>
      </c>
      <c r="AH22">
        <f t="shared" si="31"/>
        <v>1</v>
      </c>
      <c r="AI22" s="100">
        <f t="shared" si="32"/>
        <v>0.17845537465417782</v>
      </c>
      <c r="AJ22" s="100">
        <f t="shared" si="33"/>
        <v>7.4486060808459126E-2</v>
      </c>
      <c r="AL22">
        <f t="shared" si="34"/>
        <v>0.7810723278918591</v>
      </c>
      <c r="AM22">
        <f t="shared" si="35"/>
        <v>8.3561013442215462E-2</v>
      </c>
      <c r="AN22">
        <f t="shared" si="36"/>
        <v>0.13536665866592557</v>
      </c>
      <c r="AO22">
        <f t="shared" si="37"/>
        <v>1</v>
      </c>
      <c r="AP22" s="100">
        <f t="shared" si="38"/>
        <v>0.17464192402931436</v>
      </c>
      <c r="AQ22" s="100">
        <f t="shared" si="39"/>
        <v>0.13536665866592557</v>
      </c>
      <c r="AS22">
        <f t="shared" si="40"/>
        <v>0.83677626542900296</v>
      </c>
      <c r="AT22">
        <f t="shared" si="41"/>
        <v>8.0878469365039521E-2</v>
      </c>
      <c r="AU22">
        <f t="shared" si="42"/>
        <v>8.2345265205957474E-2</v>
      </c>
      <c r="AV22">
        <f t="shared" si="43"/>
        <v>1</v>
      </c>
      <c r="AW22" s="100">
        <f t="shared" si="44"/>
        <v>0.1409324731522516</v>
      </c>
      <c r="AX22" s="100">
        <f t="shared" si="45"/>
        <v>8.2345265205957474E-2</v>
      </c>
      <c r="AY22" s="100"/>
      <c r="AZ22" s="100">
        <f t="shared" si="46"/>
        <v>0.75320503624849156</v>
      </c>
      <c r="BA22" s="100">
        <f t="shared" si="47"/>
        <v>7.2800906247723576E-2</v>
      </c>
      <c r="BB22" s="100">
        <f t="shared" si="48"/>
        <v>0.17399405750378491</v>
      </c>
      <c r="BC22" s="100">
        <f t="shared" si="49"/>
        <v>1</v>
      </c>
      <c r="BD22" s="100">
        <f t="shared" si="50"/>
        <v>0.18451876157594926</v>
      </c>
      <c r="BE22" s="100">
        <f t="shared" si="51"/>
        <v>0.17399405750378491</v>
      </c>
      <c r="BF22" s="100"/>
      <c r="BG22" s="100">
        <f t="shared" si="52"/>
        <v>0.5238989895103543</v>
      </c>
      <c r="BH22" s="100">
        <f t="shared" si="53"/>
        <v>0.14044283765855942</v>
      </c>
      <c r="BI22" s="100">
        <f t="shared" si="54"/>
        <v>0.33565817283108634</v>
      </c>
      <c r="BJ22" s="100">
        <f t="shared" si="8"/>
        <v>1</v>
      </c>
      <c r="BK22" s="100">
        <f t="shared" si="55"/>
        <v>0.35596175669557401</v>
      </c>
      <c r="BL22" s="100">
        <f t="shared" si="56"/>
        <v>0.33565817283108634</v>
      </c>
      <c r="BM22" s="100"/>
      <c r="BN22" s="3">
        <f t="shared" si="9"/>
        <v>0.86140428937772573</v>
      </c>
      <c r="BO22" s="92">
        <f t="shared" si="10"/>
        <v>5.3826857119967826E-2</v>
      </c>
      <c r="BP22" s="3">
        <f t="shared" si="11"/>
        <v>8.4768853502306341E-2</v>
      </c>
      <c r="BQ22">
        <f t="shared" si="57"/>
        <v>0.99999999999999989</v>
      </c>
      <c r="BR22" s="100">
        <f t="shared" si="58"/>
        <v>0.11109522128414241</v>
      </c>
      <c r="BS22" s="100">
        <f t="shared" si="59"/>
        <v>8.4768853502306341E-2</v>
      </c>
      <c r="BT22" s="100"/>
      <c r="BU22" s="3">
        <f t="shared" si="60"/>
        <v>0.75221188881398604</v>
      </c>
      <c r="BV22" s="92">
        <f t="shared" si="61"/>
        <v>0.1737646355754747</v>
      </c>
      <c r="BW22" s="3">
        <f t="shared" si="62"/>
        <v>7.4023475610539208E-2</v>
      </c>
      <c r="BX22">
        <f t="shared" si="63"/>
        <v>1</v>
      </c>
      <c r="BY22" s="100">
        <f t="shared" si="64"/>
        <v>0.24338359182037156</v>
      </c>
      <c r="BZ22" s="100">
        <f t="shared" si="65"/>
        <v>7.4023475610539208E-2</v>
      </c>
      <c r="CB22" s="103">
        <f>'Amphibole P-T calcs'!EU22</f>
        <v>6.4552551063979378</v>
      </c>
      <c r="CC22" s="103">
        <f>'Amphibole P-T calcs'!EV22</f>
        <v>0.23806581487533654</v>
      </c>
      <c r="CD22" s="103">
        <f>'Amphibole P-T calcs'!EW22</f>
        <v>2.0146418893878235</v>
      </c>
      <c r="CE22" s="103">
        <f>'Amphibole P-T calcs'!EX22</f>
        <v>0</v>
      </c>
      <c r="CF22" s="103">
        <f>'Amphibole P-T calcs'!EY22</f>
        <v>0</v>
      </c>
      <c r="CG22" s="103">
        <f>'Amphibole P-T calcs'!EZ22</f>
        <v>1.5749858470859508</v>
      </c>
      <c r="CH22" s="103">
        <f>'Amphibole P-T calcs'!FA22</f>
        <v>2.9196043476551397E-2</v>
      </c>
      <c r="CI22" s="103">
        <f>'Amphibole P-T calcs'!FB22</f>
        <v>2.8075610395906172</v>
      </c>
      <c r="CJ22" s="103">
        <f>'Amphibole P-T calcs'!FC22</f>
        <v>1.7761310142902336</v>
      </c>
      <c r="CK22" s="103">
        <f>'Amphibole P-T calcs'!FD22</f>
        <v>0.65313324642497972</v>
      </c>
      <c r="CL22" s="103">
        <f>'Amphibole P-T calcs'!FE22</f>
        <v>0.15390951143174927</v>
      </c>
      <c r="CM22">
        <f t="shared" si="66"/>
        <v>4.4117429301531192</v>
      </c>
      <c r="CN22">
        <f t="shared" si="67"/>
        <v>15.673683469484629</v>
      </c>
      <c r="CO22">
        <f t="shared" si="68"/>
        <v>13.119705740814217</v>
      </c>
      <c r="CQ22" s="3">
        <f t="shared" si="12"/>
        <v>0.4118530987923667</v>
      </c>
      <c r="CR22" s="3">
        <f t="shared" si="13"/>
        <v>1.5188887496600979E-2</v>
      </c>
      <c r="CS22" s="3">
        <f t="shared" si="14"/>
        <v>0.12853659405015835</v>
      </c>
      <c r="CT22" s="3">
        <f t="shared" si="15"/>
        <v>0.10048600574027915</v>
      </c>
      <c r="CU22" s="3">
        <f t="shared" si="16"/>
        <v>0.17912579675713799</v>
      </c>
      <c r="CV22" s="3">
        <f t="shared" si="17"/>
        <v>0.11331931117201738</v>
      </c>
      <c r="CW22" s="3">
        <f t="shared" si="18"/>
        <v>4.1670692642005715E-2</v>
      </c>
      <c r="CX22" s="3">
        <f t="shared" si="19"/>
        <v>9.8196133494336812E-3</v>
      </c>
      <c r="CY22" s="3">
        <f t="shared" si="69"/>
        <v>0.99999999999999989</v>
      </c>
    </row>
    <row r="23" spans="1:103" ht="15.5" x14ac:dyDescent="0.35">
      <c r="A23" s="103">
        <f>'Amphibole P-T calcs'!A23</f>
        <v>10.6</v>
      </c>
      <c r="B23" s="103" t="str">
        <f>'Amphibole P-T calcs'!B23</f>
        <v>Merapi (2010)</v>
      </c>
      <c r="D23" s="108">
        <f t="shared" si="0"/>
        <v>3.6627114916464767E-2</v>
      </c>
      <c r="E23" s="108">
        <f t="shared" si="1"/>
        <v>0.21560792183299413</v>
      </c>
      <c r="F23" s="108">
        <f t="shared" si="2"/>
        <v>8.6118326803302878E-2</v>
      </c>
      <c r="G23" s="108">
        <f t="shared" si="3"/>
        <v>5.2099873393044074E-2</v>
      </c>
      <c r="H23" s="108">
        <f t="shared" si="4"/>
        <v>5.0016817951922705E-2</v>
      </c>
      <c r="I23" s="108">
        <f t="shared" si="5"/>
        <v>0.13246631648051865</v>
      </c>
      <c r="J23" s="108">
        <f t="shared" si="6"/>
        <v>0.42706362862175284</v>
      </c>
      <c r="K23" s="108">
        <f t="shared" si="7"/>
        <v>-8.7559945364210391E-3</v>
      </c>
      <c r="L23" s="3">
        <f t="shared" si="20"/>
        <v>1</v>
      </c>
      <c r="N23" s="108">
        <f t="array" ref="N23:U23">MMULT(CQ23:CX23,$U$3:$AB$10)</f>
        <v>9.3881586840156746E-3</v>
      </c>
      <c r="O23" s="108">
        <v>5.5264013786384451E-2</v>
      </c>
      <c r="P23" s="108">
        <v>2.2073606383556325E-2</v>
      </c>
      <c r="Q23" s="108">
        <v>1.3354092451632108E-2</v>
      </c>
      <c r="R23" s="108">
        <v>1.2820169562170268E-2</v>
      </c>
      <c r="S23" s="108">
        <v>3.3953392240760827E-2</v>
      </c>
      <c r="T23" s="108">
        <v>0.10946374353581037</v>
      </c>
      <c r="U23" s="108">
        <v>-2.2443117982886198E-3</v>
      </c>
      <c r="V23" s="108">
        <f t="shared" si="21"/>
        <v>0.25631717664433001</v>
      </c>
      <c r="X23">
        <f t="shared" si="22"/>
        <v>0.77688857643231668</v>
      </c>
      <c r="Y23">
        <f t="shared" si="23"/>
        <v>0.16013089106397169</v>
      </c>
      <c r="Z23">
        <f t="shared" si="24"/>
        <v>6.2980532503711634E-2</v>
      </c>
      <c r="AA23">
        <f t="shared" si="25"/>
        <v>1</v>
      </c>
      <c r="AB23" s="100">
        <f t="shared" si="26"/>
        <v>0.22126505351744125</v>
      </c>
      <c r="AC23" s="100">
        <f t="shared" si="27"/>
        <v>6.2980532503711634E-2</v>
      </c>
      <c r="AE23">
        <f t="shared" si="28"/>
        <v>0.81952041445682033</v>
      </c>
      <c r="AF23">
        <f t="shared" si="29"/>
        <v>8.8399011515727238E-2</v>
      </c>
      <c r="AG23">
        <f t="shared" si="30"/>
        <v>9.2080574027452525E-2</v>
      </c>
      <c r="AH23">
        <f t="shared" si="31"/>
        <v>1.0000000000000002</v>
      </c>
      <c r="AI23" s="100">
        <f t="shared" si="32"/>
        <v>0.15523713039128886</v>
      </c>
      <c r="AJ23" s="100">
        <f t="shared" si="33"/>
        <v>9.2080574027452525E-2</v>
      </c>
      <c r="AL23">
        <f t="shared" si="34"/>
        <v>0.70845609441268842</v>
      </c>
      <c r="AM23">
        <f t="shared" si="35"/>
        <v>0.12035134220820853</v>
      </c>
      <c r="AN23">
        <f t="shared" si="36"/>
        <v>0.17119256337910307</v>
      </c>
      <c r="AO23">
        <f t="shared" si="37"/>
        <v>1</v>
      </c>
      <c r="AP23" s="100">
        <f t="shared" si="38"/>
        <v>0.23780783219267115</v>
      </c>
      <c r="AQ23" s="100">
        <f t="shared" si="39"/>
        <v>0.17119256337910307</v>
      </c>
      <c r="AS23">
        <f t="shared" si="40"/>
        <v>0.82520034099280248</v>
      </c>
      <c r="AT23">
        <f t="shared" si="41"/>
        <v>0.11057728102874705</v>
      </c>
      <c r="AU23">
        <f t="shared" si="42"/>
        <v>6.4222377978450429E-2</v>
      </c>
      <c r="AV23">
        <f t="shared" si="43"/>
        <v>1</v>
      </c>
      <c r="AW23" s="100">
        <f t="shared" si="44"/>
        <v>0.16476245315026422</v>
      </c>
      <c r="AX23" s="100">
        <f t="shared" si="45"/>
        <v>6.4222377978450429E-2</v>
      </c>
      <c r="AY23" s="100"/>
      <c r="AZ23" s="100">
        <f t="shared" si="46"/>
        <v>0.74620252966195544</v>
      </c>
      <c r="BA23" s="100">
        <f t="shared" si="47"/>
        <v>9.9991532634996425E-2</v>
      </c>
      <c r="BB23" s="100">
        <f t="shared" si="48"/>
        <v>0.15380593770304818</v>
      </c>
      <c r="BC23" s="100">
        <f t="shared" si="49"/>
        <v>1</v>
      </c>
      <c r="BD23" s="100">
        <f t="shared" si="50"/>
        <v>0.20426017610281455</v>
      </c>
      <c r="BE23" s="100">
        <f t="shared" si="51"/>
        <v>0.15380593770304818</v>
      </c>
      <c r="BF23" s="100"/>
      <c r="BG23" s="100">
        <f t="shared" si="52"/>
        <v>0.49657211835257176</v>
      </c>
      <c r="BH23" s="100">
        <f t="shared" si="53"/>
        <v>0.19834132069979943</v>
      </c>
      <c r="BI23" s="100">
        <f t="shared" si="54"/>
        <v>0.30508656094762876</v>
      </c>
      <c r="BJ23" s="100">
        <f t="shared" si="8"/>
        <v>1</v>
      </c>
      <c r="BK23" s="100">
        <f t="shared" si="55"/>
        <v>0.4051666378841608</v>
      </c>
      <c r="BL23" s="100">
        <f t="shared" si="56"/>
        <v>0.30508656094762876</v>
      </c>
      <c r="BM23" s="100"/>
      <c r="BN23" s="3">
        <f t="shared" si="9"/>
        <v>0.86289164407562213</v>
      </c>
      <c r="BO23" s="92">
        <f t="shared" si="10"/>
        <v>6.9952599234313129E-2</v>
      </c>
      <c r="BP23" s="3">
        <f t="shared" si="11"/>
        <v>6.7155756690064766E-2</v>
      </c>
      <c r="BQ23">
        <f t="shared" si="57"/>
        <v>1</v>
      </c>
      <c r="BR23" s="100">
        <f t="shared" si="58"/>
        <v>0.11954669819953129</v>
      </c>
      <c r="BS23" s="100">
        <f t="shared" si="59"/>
        <v>6.7155756690064766E-2</v>
      </c>
      <c r="BT23" s="100"/>
      <c r="BU23" s="3">
        <f t="shared" si="60"/>
        <v>0.77884978686464135</v>
      </c>
      <c r="BV23" s="92">
        <f t="shared" si="61"/>
        <v>0.16053513226871988</v>
      </c>
      <c r="BW23" s="3">
        <f t="shared" si="62"/>
        <v>6.0615080866638707E-2</v>
      </c>
      <c r="BX23">
        <f t="shared" si="63"/>
        <v>0.99999999999999989</v>
      </c>
      <c r="BY23" s="100">
        <f t="shared" si="64"/>
        <v>0.22036613691477996</v>
      </c>
      <c r="BZ23" s="100">
        <f t="shared" si="65"/>
        <v>6.0615080866638707E-2</v>
      </c>
      <c r="CB23" s="103">
        <f>'Amphibole P-T calcs'!EU23</f>
        <v>6.1422236916067918</v>
      </c>
      <c r="CC23" s="103">
        <f>'Amphibole P-T calcs'!EV23</f>
        <v>0.34973593461895386</v>
      </c>
      <c r="CD23" s="103">
        <f>'Amphibole P-T calcs'!EW23</f>
        <v>2.0499271046003176</v>
      </c>
      <c r="CE23" s="103">
        <f>'Amphibole P-T calcs'!EX23</f>
        <v>5.6039440274921982E-3</v>
      </c>
      <c r="CF23" s="103">
        <f>'Amphibole P-T calcs'!EY23</f>
        <v>0</v>
      </c>
      <c r="CG23" s="103">
        <f>'Amphibole P-T calcs'!EZ23</f>
        <v>1.7343520577093026</v>
      </c>
      <c r="CH23" s="103">
        <f>'Amphibole P-T calcs'!FA23</f>
        <v>7.4441267003455922E-2</v>
      </c>
      <c r="CI23" s="103">
        <f>'Amphibole P-T calcs'!FB23</f>
        <v>2.9289281335120019</v>
      </c>
      <c r="CJ23" s="103">
        <f>'Amphibole P-T calcs'!FC23</f>
        <v>1.7512146566837505</v>
      </c>
      <c r="CK23" s="103">
        <f>'Amphibole P-T calcs'!FD23</f>
        <v>0.67611284100493463</v>
      </c>
      <c r="CL23" s="103">
        <f>'Amphibole P-T calcs'!FE23</f>
        <v>0.21158327839163965</v>
      </c>
      <c r="CM23">
        <f t="shared" si="66"/>
        <v>4.73772145822476</v>
      </c>
      <c r="CN23">
        <f t="shared" si="67"/>
        <v>15.844077698127693</v>
      </c>
      <c r="CO23">
        <f t="shared" si="68"/>
        <v>13.285212133078316</v>
      </c>
      <c r="CQ23" s="3">
        <f t="shared" si="12"/>
        <v>0.38766684995066791</v>
      </c>
      <c r="CR23" s="3">
        <f t="shared" si="13"/>
        <v>2.2073606383556325E-2</v>
      </c>
      <c r="CS23" s="3">
        <f t="shared" si="14"/>
        <v>0.12938128325655454</v>
      </c>
      <c r="CT23" s="3">
        <f t="shared" si="15"/>
        <v>0.10946374353581037</v>
      </c>
      <c r="CU23" s="3">
        <f t="shared" si="16"/>
        <v>0.18485949067632479</v>
      </c>
      <c r="CV23" s="3">
        <f t="shared" si="17"/>
        <v>0.1105280275727689</v>
      </c>
      <c r="CW23" s="3">
        <f t="shared" si="18"/>
        <v>4.2672906172685043E-2</v>
      </c>
      <c r="CX23" s="3">
        <f t="shared" si="19"/>
        <v>1.3354092451632108E-2</v>
      </c>
      <c r="CY23" s="3">
        <f t="shared" si="69"/>
        <v>1</v>
      </c>
    </row>
    <row r="24" spans="1:103" ht="15.5" x14ac:dyDescent="0.35">
      <c r="A24" s="103">
        <f>'Amphibole P-T calcs'!A24</f>
        <v>11.7</v>
      </c>
      <c r="B24" s="103" t="str">
        <f>'Amphibole P-T calcs'!B24</f>
        <v>Merapi (2010)</v>
      </c>
      <c r="D24" s="108">
        <f t="shared" si="0"/>
        <v>2.2736739949216964E-2</v>
      </c>
      <c r="E24" s="108">
        <f t="shared" si="1"/>
        <v>0.23841672697414684</v>
      </c>
      <c r="F24" s="108">
        <f t="shared" si="2"/>
        <v>5.6538364932539276E-2</v>
      </c>
      <c r="G24" s="108">
        <f t="shared" si="3"/>
        <v>5.5065416831904412E-2</v>
      </c>
      <c r="H24" s="108">
        <f t="shared" si="4"/>
        <v>9.3533099144718052E-2</v>
      </c>
      <c r="I24" s="108">
        <f t="shared" si="5"/>
        <v>0.15219706991471316</v>
      </c>
      <c r="J24" s="108">
        <f t="shared" si="6"/>
        <v>0.38151258225276125</v>
      </c>
      <c r="K24" s="108">
        <f t="shared" si="7"/>
        <v>-1.4043648568923511E-2</v>
      </c>
      <c r="L24" s="3">
        <f t="shared" si="20"/>
        <v>1</v>
      </c>
      <c r="N24" s="108">
        <f t="array" ref="N24:U24">MMULT(CQ24:CX24,$U$3:$AB$10)</f>
        <v>5.7350325310564559E-3</v>
      </c>
      <c r="O24" s="108">
        <v>6.01373674589539E-2</v>
      </c>
      <c r="P24" s="108">
        <v>1.4261031390827038E-2</v>
      </c>
      <c r="Q24" s="108">
        <v>1.3889500322935764E-2</v>
      </c>
      <c r="R24" s="108">
        <v>2.3592448500690203E-2</v>
      </c>
      <c r="S24" s="108">
        <v>3.8389634971499692E-2</v>
      </c>
      <c r="T24" s="108">
        <v>9.6231345175863278E-2</v>
      </c>
      <c r="U24" s="108">
        <v>-3.5423188010854012E-3</v>
      </c>
      <c r="V24" s="108">
        <f t="shared" si="21"/>
        <v>0.25223636035182634</v>
      </c>
      <c r="X24">
        <f t="shared" si="22"/>
        <v>0.74943841590850235</v>
      </c>
      <c r="Y24">
        <f t="shared" si="23"/>
        <v>0.18399247992491483</v>
      </c>
      <c r="Z24">
        <f t="shared" si="24"/>
        <v>6.656910416658289E-2</v>
      </c>
      <c r="AA24">
        <f t="shared" si="25"/>
        <v>1</v>
      </c>
      <c r="AB24" s="100">
        <f t="shared" si="26"/>
        <v>0.25088990583732163</v>
      </c>
      <c r="AC24" s="100">
        <f t="shared" si="27"/>
        <v>6.656910416658289E-2</v>
      </c>
      <c r="AE24">
        <f t="shared" si="28"/>
        <v>0.73121263082769461</v>
      </c>
      <c r="AF24">
        <f t="shared" si="29"/>
        <v>0.1691841636803175</v>
      </c>
      <c r="AG24">
        <f t="shared" si="30"/>
        <v>9.960320549198784E-2</v>
      </c>
      <c r="AH24">
        <f t="shared" si="31"/>
        <v>1</v>
      </c>
      <c r="AI24" s="100">
        <f t="shared" si="32"/>
        <v>0.25286298238985477</v>
      </c>
      <c r="AJ24" s="100">
        <f t="shared" si="33"/>
        <v>9.960320549198784E-2</v>
      </c>
      <c r="AL24">
        <f t="shared" si="34"/>
        <v>0.75396106691295861</v>
      </c>
      <c r="AM24">
        <f t="shared" si="35"/>
        <v>7.1901904399908165E-2</v>
      </c>
      <c r="AN24">
        <f t="shared" si="36"/>
        <v>0.17413702868713332</v>
      </c>
      <c r="AO24">
        <f t="shared" si="37"/>
        <v>1</v>
      </c>
      <c r="AP24" s="100">
        <f t="shared" si="38"/>
        <v>0.18356322810946543</v>
      </c>
      <c r="AQ24" s="100">
        <f t="shared" si="39"/>
        <v>0.17413702868713332</v>
      </c>
      <c r="AS24">
        <f t="shared" si="40"/>
        <v>0.80510219043900066</v>
      </c>
      <c r="AT24">
        <f t="shared" si="41"/>
        <v>7.3426374222880814E-2</v>
      </c>
      <c r="AU24">
        <f t="shared" si="42"/>
        <v>0.12147143533811833</v>
      </c>
      <c r="AV24">
        <f t="shared" si="43"/>
        <v>0.99999999999999978</v>
      </c>
      <c r="AW24" s="100">
        <f t="shared" si="44"/>
        <v>0.15491703973770971</v>
      </c>
      <c r="AX24" s="100">
        <f t="shared" si="45"/>
        <v>0.12147143533811833</v>
      </c>
      <c r="AY24" s="100"/>
      <c r="AZ24" s="100">
        <f t="shared" si="46"/>
        <v>0.74810629227328163</v>
      </c>
      <c r="BA24" s="100">
        <f t="shared" si="47"/>
        <v>6.822827366175413E-2</v>
      </c>
      <c r="BB24" s="100">
        <f t="shared" si="48"/>
        <v>0.18366543406496419</v>
      </c>
      <c r="BC24" s="100">
        <f t="shared" si="49"/>
        <v>0.99999999999999989</v>
      </c>
      <c r="BD24" s="100">
        <f t="shared" si="50"/>
        <v>0.18482251212815093</v>
      </c>
      <c r="BE24" s="100">
        <f t="shared" si="51"/>
        <v>0.18366543406496419</v>
      </c>
      <c r="BF24" s="100"/>
      <c r="BG24" s="100">
        <f t="shared" si="52"/>
        <v>0.53318925263157924</v>
      </c>
      <c r="BH24" s="100">
        <f t="shared" si="53"/>
        <v>0.12644099651053844</v>
      </c>
      <c r="BI24" s="100">
        <f t="shared" si="54"/>
        <v>0.34036975085788229</v>
      </c>
      <c r="BJ24" s="100">
        <f t="shared" si="8"/>
        <v>1</v>
      </c>
      <c r="BK24" s="100">
        <f t="shared" si="55"/>
        <v>0.34251405402573198</v>
      </c>
      <c r="BL24" s="100">
        <f t="shared" si="56"/>
        <v>0.34036975085788229</v>
      </c>
      <c r="BM24" s="100"/>
      <c r="BN24" s="3">
        <f t="shared" si="9"/>
        <v>0.80664523638129959</v>
      </c>
      <c r="BO24" s="92">
        <f t="shared" si="10"/>
        <v>7.1650518076325123E-2</v>
      </c>
      <c r="BP24" s="3">
        <f t="shared" si="11"/>
        <v>0.12170424554237515</v>
      </c>
      <c r="BQ24">
        <f t="shared" si="57"/>
        <v>0.99999999999999989</v>
      </c>
      <c r="BR24" s="100">
        <f t="shared" si="58"/>
        <v>0.15300087072329549</v>
      </c>
      <c r="BS24" s="100">
        <f t="shared" si="59"/>
        <v>0.12170424554237515</v>
      </c>
      <c r="BT24" s="100"/>
      <c r="BU24" s="3">
        <f t="shared" si="60"/>
        <v>0.71613529889850103</v>
      </c>
      <c r="BV24" s="92">
        <f t="shared" si="61"/>
        <v>0.17581632701117383</v>
      </c>
      <c r="BW24" s="3">
        <f t="shared" si="62"/>
        <v>0.10804837409032511</v>
      </c>
      <c r="BX24">
        <f t="shared" si="63"/>
        <v>1</v>
      </c>
      <c r="BY24" s="100">
        <f t="shared" si="64"/>
        <v>0.26539696532221552</v>
      </c>
      <c r="BZ24" s="100">
        <f t="shared" si="65"/>
        <v>0.10804837409032511</v>
      </c>
      <c r="CB24" s="103">
        <f>'Amphibole P-T calcs'!EU24</f>
        <v>5.9363003639637091</v>
      </c>
      <c r="CC24" s="103">
        <f>'Amphibole P-T calcs'!EV24</f>
        <v>0.22748539477288532</v>
      </c>
      <c r="CD24" s="103">
        <f>'Amphibole P-T calcs'!EW24</f>
        <v>2.5726879645783014</v>
      </c>
      <c r="CE24" s="103">
        <f>'Amphibole P-T calcs'!EX24</f>
        <v>1.1837487142354255E-3</v>
      </c>
      <c r="CF24" s="103">
        <f>'Amphibole P-T calcs'!EY24</f>
        <v>0</v>
      </c>
      <c r="CG24" s="103">
        <f>'Amphibole P-T calcs'!EZ24</f>
        <v>1.5350380310457696</v>
      </c>
      <c r="CH24" s="103">
        <f>'Amphibole P-T calcs'!FA24</f>
        <v>1.6485463223329458E-2</v>
      </c>
      <c r="CI24" s="103">
        <f>'Amphibole P-T calcs'!FB24</f>
        <v>2.9216007520329099</v>
      </c>
      <c r="CJ24" s="103">
        <f>'Amphibole P-T calcs'!FC24</f>
        <v>1.9185670940745094</v>
      </c>
      <c r="CK24" s="103">
        <f>'Amphibole P-T calcs'!FD24</f>
        <v>0.61830024187450094</v>
      </c>
      <c r="CL24" s="103">
        <f>'Amphibole P-T calcs'!FE24</f>
        <v>0.2215589025484869</v>
      </c>
      <c r="CM24">
        <f t="shared" si="66"/>
        <v>4.4731242463020084</v>
      </c>
      <c r="CN24">
        <f t="shared" si="67"/>
        <v>15.951538744891073</v>
      </c>
      <c r="CO24">
        <f t="shared" si="68"/>
        <v>13.210781718331139</v>
      </c>
      <c r="CQ24" s="3">
        <f t="shared" si="12"/>
        <v>0.37214593895306658</v>
      </c>
      <c r="CR24" s="3">
        <f t="shared" si="13"/>
        <v>1.4261031390827038E-2</v>
      </c>
      <c r="CS24" s="3">
        <f t="shared" si="14"/>
        <v>0.16128149175591458</v>
      </c>
      <c r="CT24" s="3">
        <f t="shared" si="15"/>
        <v>9.6231345175863278E-2</v>
      </c>
      <c r="CU24" s="3">
        <f t="shared" si="16"/>
        <v>0.18315479144409402</v>
      </c>
      <c r="CV24" s="3">
        <f t="shared" si="17"/>
        <v>0.1202747349179078</v>
      </c>
      <c r="CW24" s="3">
        <f t="shared" si="18"/>
        <v>3.8761166039390962E-2</v>
      </c>
      <c r="CX24" s="3">
        <f t="shared" si="19"/>
        <v>1.3889500322935764E-2</v>
      </c>
      <c r="CY24" s="3">
        <f t="shared" si="69"/>
        <v>1</v>
      </c>
    </row>
    <row r="25" spans="1:103" ht="15.5" x14ac:dyDescent="0.35">
      <c r="A25" s="103">
        <f>'Amphibole P-T calcs'!A25</f>
        <v>12.3</v>
      </c>
      <c r="B25" s="103" t="str">
        <f>'Amphibole P-T calcs'!B25</f>
        <v>Merapi (2010)</v>
      </c>
      <c r="D25" s="108">
        <f t="shared" si="0"/>
        <v>2.120741915190711E-2</v>
      </c>
      <c r="E25" s="108">
        <f t="shared" si="1"/>
        <v>0.2429898362875185</v>
      </c>
      <c r="F25" s="108">
        <f t="shared" si="2"/>
        <v>5.2960791397053453E-2</v>
      </c>
      <c r="G25" s="108">
        <f t="shared" si="3"/>
        <v>5.2106782484567862E-2</v>
      </c>
      <c r="H25" s="108">
        <f t="shared" si="4"/>
        <v>0.10098745595890152</v>
      </c>
      <c r="I25" s="108">
        <f t="shared" si="5"/>
        <v>0.14848000723654919</v>
      </c>
      <c r="J25" s="108">
        <f t="shared" si="6"/>
        <v>0.38126770748350236</v>
      </c>
      <c r="K25" s="108">
        <f t="shared" si="7"/>
        <v>-1.1946929029032211E-2</v>
      </c>
      <c r="L25" s="3">
        <f t="shared" si="20"/>
        <v>1</v>
      </c>
      <c r="N25" s="108">
        <f t="array" ref="N25:U25">MMULT(CQ25:CX25,$U$3:$AB$10)</f>
        <v>5.2662942069245586E-3</v>
      </c>
      <c r="O25" s="108">
        <v>6.0340013936463856E-2</v>
      </c>
      <c r="P25" s="108">
        <v>1.3151393242650246E-2</v>
      </c>
      <c r="Q25" s="108">
        <v>1.2939323015892817E-2</v>
      </c>
      <c r="R25" s="108">
        <v>2.5077528315867063E-2</v>
      </c>
      <c r="S25" s="108">
        <v>3.6871030668700601E-2</v>
      </c>
      <c r="T25" s="108">
        <v>9.4677617527412106E-2</v>
      </c>
      <c r="U25" s="108">
        <v>-2.9666996575806043E-3</v>
      </c>
      <c r="V25" s="108">
        <f t="shared" si="21"/>
        <v>0.24832320091391125</v>
      </c>
      <c r="X25">
        <f t="shared" si="22"/>
        <v>0.75681861221996372</v>
      </c>
      <c r="Y25">
        <f t="shared" si="23"/>
        <v>0.18000973178530594</v>
      </c>
      <c r="Z25">
        <f t="shared" si="24"/>
        <v>6.3171655994730208E-2</v>
      </c>
      <c r="AA25">
        <f t="shared" si="25"/>
        <v>0.99999999999999978</v>
      </c>
      <c r="AB25" s="100">
        <f t="shared" si="26"/>
        <v>0.24432950679970933</v>
      </c>
      <c r="AC25" s="100">
        <f t="shared" si="27"/>
        <v>6.3171655994730208E-2</v>
      </c>
      <c r="AE25">
        <f t="shared" si="28"/>
        <v>0.72443722050489001</v>
      </c>
      <c r="AF25">
        <f t="shared" si="29"/>
        <v>0.18177290237117999</v>
      </c>
      <c r="AG25">
        <f t="shared" si="30"/>
        <v>9.3789877123930013E-2</v>
      </c>
      <c r="AH25">
        <f t="shared" si="31"/>
        <v>1</v>
      </c>
      <c r="AI25" s="100">
        <f t="shared" si="32"/>
        <v>0.26404287903552359</v>
      </c>
      <c r="AJ25" s="100">
        <f t="shared" si="33"/>
        <v>9.3789877123930013E-2</v>
      </c>
      <c r="AL25">
        <f t="shared" si="34"/>
        <v>0.76821604264789034</v>
      </c>
      <c r="AM25">
        <f t="shared" si="35"/>
        <v>6.7047576411285531E-2</v>
      </c>
      <c r="AN25">
        <f t="shared" si="36"/>
        <v>0.1647363809408241</v>
      </c>
      <c r="AO25">
        <f t="shared" si="37"/>
        <v>1</v>
      </c>
      <c r="AP25" s="100">
        <f t="shared" si="38"/>
        <v>0.17253046646064493</v>
      </c>
      <c r="AQ25" s="100">
        <f t="shared" si="39"/>
        <v>0.1647363809408241</v>
      </c>
      <c r="AS25">
        <f t="shared" si="40"/>
        <v>0.80217540255899222</v>
      </c>
      <c r="AT25">
        <f t="shared" si="41"/>
        <v>6.8054995222224079E-2</v>
      </c>
      <c r="AU25">
        <f t="shared" si="42"/>
        <v>0.12976960221878367</v>
      </c>
      <c r="AV25">
        <f t="shared" si="43"/>
        <v>0.99999999999999989</v>
      </c>
      <c r="AW25" s="100">
        <f t="shared" si="44"/>
        <v>0.15350565439614494</v>
      </c>
      <c r="AX25" s="100">
        <f t="shared" si="45"/>
        <v>0.12976960221878367</v>
      </c>
      <c r="AY25" s="100"/>
      <c r="AZ25" s="100">
        <f t="shared" si="46"/>
        <v>0.75603584470454344</v>
      </c>
      <c r="BA25" s="100">
        <f t="shared" si="47"/>
        <v>6.4140605203129558E-2</v>
      </c>
      <c r="BB25" s="100">
        <f t="shared" si="48"/>
        <v>0.17982355009232701</v>
      </c>
      <c r="BC25" s="100">
        <f t="shared" si="49"/>
        <v>1</v>
      </c>
      <c r="BD25" s="100">
        <f t="shared" si="50"/>
        <v>0.17788436641246386</v>
      </c>
      <c r="BE25" s="100">
        <f t="shared" si="51"/>
        <v>0.17982355009232701</v>
      </c>
      <c r="BF25" s="100"/>
      <c r="BG25" s="100">
        <f t="shared" si="52"/>
        <v>0.54674411976718273</v>
      </c>
      <c r="BH25" s="100">
        <f t="shared" si="53"/>
        <v>0.11916548328504195</v>
      </c>
      <c r="BI25" s="100">
        <f t="shared" si="54"/>
        <v>0.33409039694777531</v>
      </c>
      <c r="BJ25" s="100">
        <f t="shared" si="8"/>
        <v>1</v>
      </c>
      <c r="BK25" s="100">
        <f t="shared" si="55"/>
        <v>0.33048762831692857</v>
      </c>
      <c r="BL25" s="100">
        <f t="shared" si="56"/>
        <v>0.33409039694777531</v>
      </c>
      <c r="BM25" s="100"/>
      <c r="BN25" s="3">
        <f t="shared" si="9"/>
        <v>0.8030566830279332</v>
      </c>
      <c r="BO25" s="92">
        <f t="shared" si="10"/>
        <v>6.7031148158081075E-2</v>
      </c>
      <c r="BP25" s="3">
        <f t="shared" si="11"/>
        <v>0.12991216881398571</v>
      </c>
      <c r="BQ25">
        <f t="shared" si="57"/>
        <v>1</v>
      </c>
      <c r="BR25" s="100">
        <f t="shared" si="58"/>
        <v>0.15240572850207834</v>
      </c>
      <c r="BS25" s="100">
        <f t="shared" si="59"/>
        <v>0.12991216881398571</v>
      </c>
      <c r="BT25" s="100"/>
      <c r="BU25" s="3">
        <f t="shared" si="60"/>
        <v>0.71447828412100856</v>
      </c>
      <c r="BV25" s="92">
        <f t="shared" si="61"/>
        <v>0.1699390609776229</v>
      </c>
      <c r="BW25" s="3">
        <f t="shared" si="62"/>
        <v>0.11558265490136854</v>
      </c>
      <c r="BX25">
        <f t="shared" si="63"/>
        <v>1</v>
      </c>
      <c r="BY25" s="100">
        <f t="shared" si="64"/>
        <v>0.26296040212348237</v>
      </c>
      <c r="BZ25" s="100">
        <f t="shared" si="65"/>
        <v>0.11558265490136854</v>
      </c>
      <c r="CB25" s="103">
        <f>'Amphibole P-T calcs'!EU25</f>
        <v>5.9976399915045828</v>
      </c>
      <c r="CC25" s="103">
        <f>'Amphibole P-T calcs'!EV25</f>
        <v>0.20899939610846671</v>
      </c>
      <c r="CD25" s="103">
        <f>'Amphibole P-T calcs'!EW25</f>
        <v>2.5980549817248257</v>
      </c>
      <c r="CE25" s="103">
        <f>'Amphibole P-T calcs'!EX25</f>
        <v>0</v>
      </c>
      <c r="CF25" s="103">
        <f>'Amphibole P-T calcs'!EY25</f>
        <v>0</v>
      </c>
      <c r="CG25" s="103">
        <f>'Amphibole P-T calcs'!EZ25</f>
        <v>1.5045983739613247</v>
      </c>
      <c r="CH25" s="103">
        <f>'Amphibole P-T calcs'!FA25</f>
        <v>0</v>
      </c>
      <c r="CI25" s="103">
        <f>'Amphibole P-T calcs'!FB25</f>
        <v>2.8697433917643247</v>
      </c>
      <c r="CJ25" s="103">
        <f>'Amphibole P-T calcs'!FC25</f>
        <v>1.9178236466992085</v>
      </c>
      <c r="CK25" s="103">
        <f>'Amphibole P-T calcs'!FD25</f>
        <v>0.58931746241497318</v>
      </c>
      <c r="CL25" s="103">
        <f>'Amphibole P-T calcs'!FE25</f>
        <v>0.20562921710863655</v>
      </c>
      <c r="CM25">
        <f t="shared" si="66"/>
        <v>4.3743417657256494</v>
      </c>
      <c r="CN25">
        <f t="shared" si="67"/>
        <v>15.891806461286341</v>
      </c>
      <c r="CO25">
        <f t="shared" si="68"/>
        <v>13.179036135063523</v>
      </c>
      <c r="CQ25" s="3">
        <f t="shared" si="12"/>
        <v>0.37740454529919515</v>
      </c>
      <c r="CR25" s="3">
        <f t="shared" si="13"/>
        <v>1.3151393242650246E-2</v>
      </c>
      <c r="CS25" s="3">
        <f t="shared" si="14"/>
        <v>0.16348393041746934</v>
      </c>
      <c r="CT25" s="3">
        <f t="shared" si="15"/>
        <v>9.4677617527412106E-2</v>
      </c>
      <c r="CU25" s="3">
        <f t="shared" si="16"/>
        <v>0.18058006172899471</v>
      </c>
      <c r="CV25" s="3">
        <f t="shared" si="17"/>
        <v>0.12068002787292771</v>
      </c>
      <c r="CW25" s="3">
        <f t="shared" si="18"/>
        <v>3.7083100895458028E-2</v>
      </c>
      <c r="CX25" s="3">
        <f t="shared" si="19"/>
        <v>1.2939323015892817E-2</v>
      </c>
      <c r="CY25" s="3">
        <f t="shared" si="69"/>
        <v>1</v>
      </c>
    </row>
    <row r="26" spans="1:103" ht="15.5" x14ac:dyDescent="0.35">
      <c r="A26" s="103">
        <f>'Amphibole P-T calcs'!A26</f>
        <v>15.3</v>
      </c>
      <c r="B26" s="103" t="str">
        <f>'Amphibole P-T calcs'!B26</f>
        <v>Merapi (2010)</v>
      </c>
      <c r="D26" s="108">
        <f t="shared" si="0"/>
        <v>2.3373554345680166E-2</v>
      </c>
      <c r="E26" s="108">
        <f t="shared" si="1"/>
        <v>0.23152630772706914</v>
      </c>
      <c r="F26" s="108">
        <f t="shared" si="2"/>
        <v>5.6029587960190516E-2</v>
      </c>
      <c r="G26" s="108">
        <f t="shared" si="3"/>
        <v>5.7822963314081974E-2</v>
      </c>
      <c r="H26" s="108">
        <f t="shared" si="4"/>
        <v>8.5797729635493813E-2</v>
      </c>
      <c r="I26" s="108">
        <f t="shared" si="5"/>
        <v>0.16052196311791814</v>
      </c>
      <c r="J26" s="108">
        <f t="shared" si="6"/>
        <v>0.38492789389956628</v>
      </c>
      <c r="K26" s="108">
        <f t="shared" si="7"/>
        <v>-1.6179950168435861E-2</v>
      </c>
      <c r="L26" s="3">
        <f t="shared" si="20"/>
        <v>1</v>
      </c>
      <c r="N26" s="108">
        <f t="array" ref="N26:U26">MMULT(CQ26:CX26,$U$3:$AB$10)</f>
        <v>6.0647834214780571E-3</v>
      </c>
      <c r="O26" s="108">
        <v>6.0074599351581645E-2</v>
      </c>
      <c r="P26" s="108">
        <v>1.4538110513603261E-2</v>
      </c>
      <c r="Q26" s="108">
        <v>1.5003441243962566E-2</v>
      </c>
      <c r="R26" s="108">
        <v>2.2262110443205575E-2</v>
      </c>
      <c r="S26" s="108">
        <v>4.1650958442295591E-2</v>
      </c>
      <c r="T26" s="108">
        <v>9.9878019186158171E-2</v>
      </c>
      <c r="U26" s="108">
        <v>-4.198244395808232E-3</v>
      </c>
      <c r="V26" s="108">
        <f t="shared" si="21"/>
        <v>0.25947202260228486</v>
      </c>
      <c r="X26">
        <f t="shared" si="22"/>
        <v>0.73844614938713282</v>
      </c>
      <c r="Y26">
        <f t="shared" si="23"/>
        <v>0.19228812982977053</v>
      </c>
      <c r="Z26">
        <f t="shared" si="24"/>
        <v>6.9265720783096632E-2</v>
      </c>
      <c r="AA26">
        <f t="shared" si="25"/>
        <v>1</v>
      </c>
      <c r="AB26" s="100">
        <f t="shared" si="26"/>
        <v>0.26202578957810974</v>
      </c>
      <c r="AC26" s="100">
        <f t="shared" si="27"/>
        <v>6.9265720783096632E-2</v>
      </c>
      <c r="AE26">
        <f t="shared" si="28"/>
        <v>0.73978088170432832</v>
      </c>
      <c r="AF26">
        <f t="shared" si="29"/>
        <v>0.15545259599434727</v>
      </c>
      <c r="AG26">
        <f t="shared" si="30"/>
        <v>0.10476652230132424</v>
      </c>
      <c r="AH26">
        <f t="shared" si="31"/>
        <v>0.99999999999999978</v>
      </c>
      <c r="AI26" s="100">
        <f t="shared" si="32"/>
        <v>0.23998817613985551</v>
      </c>
      <c r="AJ26" s="100">
        <f t="shared" si="33"/>
        <v>0.10476652230132424</v>
      </c>
      <c r="AL26">
        <f t="shared" si="34"/>
        <v>0.74035628016815269</v>
      </c>
      <c r="AM26">
        <f t="shared" si="35"/>
        <v>7.4742079721131935E-2</v>
      </c>
      <c r="AN26">
        <f t="shared" si="36"/>
        <v>0.18490164011071542</v>
      </c>
      <c r="AO26">
        <f t="shared" si="37"/>
        <v>1</v>
      </c>
      <c r="AP26" s="100">
        <f t="shared" si="38"/>
        <v>0.19305773138510082</v>
      </c>
      <c r="AQ26" s="100">
        <f t="shared" si="39"/>
        <v>0.18490164011071542</v>
      </c>
      <c r="AS26">
        <f t="shared" si="40"/>
        <v>0.81296218620606775</v>
      </c>
      <c r="AT26">
        <f t="shared" si="41"/>
        <v>7.3890219581842748E-2</v>
      </c>
      <c r="AU26">
        <f t="shared" si="42"/>
        <v>0.11314759421208954</v>
      </c>
      <c r="AV26">
        <f t="shared" si="43"/>
        <v>1</v>
      </c>
      <c r="AW26" s="100">
        <f t="shared" si="44"/>
        <v>0.15064687030862337</v>
      </c>
      <c r="AX26" s="100">
        <f t="shared" si="45"/>
        <v>0.11314759421208954</v>
      </c>
      <c r="AY26" s="100"/>
      <c r="AZ26" s="100">
        <f t="shared" si="46"/>
        <v>0.74003594768106651</v>
      </c>
      <c r="BA26" s="100">
        <f t="shared" si="47"/>
        <v>6.7261946004891521E-2</v>
      </c>
      <c r="BB26" s="100">
        <f t="shared" si="48"/>
        <v>0.19270210631404197</v>
      </c>
      <c r="BC26" s="100">
        <f t="shared" si="49"/>
        <v>1</v>
      </c>
      <c r="BD26" s="100">
        <f t="shared" si="50"/>
        <v>0.18892401821810439</v>
      </c>
      <c r="BE26" s="100">
        <f t="shared" si="51"/>
        <v>0.19270210631404197</v>
      </c>
      <c r="BF26" s="100"/>
      <c r="BG26" s="100">
        <f t="shared" si="52"/>
        <v>0.51670999398284423</v>
      </c>
      <c r="BH26" s="100">
        <f t="shared" si="53"/>
        <v>0.12504431285579751</v>
      </c>
      <c r="BI26" s="100">
        <f t="shared" si="54"/>
        <v>0.35824569316135824</v>
      </c>
      <c r="BJ26" s="100">
        <f t="shared" si="8"/>
        <v>1</v>
      </c>
      <c r="BK26" s="100">
        <f t="shared" si="55"/>
        <v>0.35122198275858718</v>
      </c>
      <c r="BL26" s="100">
        <f t="shared" si="56"/>
        <v>0.35824569316135824</v>
      </c>
      <c r="BM26" s="100"/>
      <c r="BN26" s="3">
        <f t="shared" si="9"/>
        <v>0.81104402477383075</v>
      </c>
      <c r="BO26" s="92">
        <f t="shared" si="10"/>
        <v>7.6075349582914273E-2</v>
      </c>
      <c r="BP26" s="3">
        <f t="shared" si="11"/>
        <v>0.112880625643255</v>
      </c>
      <c r="BQ26">
        <f t="shared" si="57"/>
        <v>1</v>
      </c>
      <c r="BR26" s="100">
        <f t="shared" si="58"/>
        <v>0.15301590672220752</v>
      </c>
      <c r="BS26" s="100">
        <f t="shared" si="59"/>
        <v>0.112880625643255</v>
      </c>
      <c r="BT26" s="100"/>
      <c r="BU26" s="3">
        <f t="shared" si="60"/>
        <v>0.71450261261044901</v>
      </c>
      <c r="BV26" s="92">
        <f t="shared" si="61"/>
        <v>0.18605333814980851</v>
      </c>
      <c r="BW26" s="3">
        <f t="shared" si="62"/>
        <v>9.9444049239742482E-2</v>
      </c>
      <c r="BX26">
        <f t="shared" si="63"/>
        <v>1</v>
      </c>
      <c r="BY26" s="100">
        <f t="shared" si="64"/>
        <v>0.27224993832671252</v>
      </c>
      <c r="BZ26" s="100">
        <f t="shared" si="65"/>
        <v>9.9444049239742482E-2</v>
      </c>
      <c r="CB26" s="103">
        <f>'Amphibole P-T calcs'!EU26</f>
        <v>5.8626071425341255</v>
      </c>
      <c r="CC26" s="103">
        <f>'Amphibole P-T calcs'!EV26</f>
        <v>0.23313729596736371</v>
      </c>
      <c r="CD26" s="103">
        <f>'Amphibole P-T calcs'!EW26</f>
        <v>2.5622075346783761</v>
      </c>
      <c r="CE26" s="103">
        <f>'Amphibole P-T calcs'!EX26</f>
        <v>3.4678038117408991E-3</v>
      </c>
      <c r="CF26" s="103">
        <f>'Amphibole P-T calcs'!EY26</f>
        <v>0</v>
      </c>
      <c r="CG26" s="103">
        <f>'Amphibole P-T calcs'!EZ26</f>
        <v>1.6016724661605386</v>
      </c>
      <c r="CH26" s="103">
        <f>'Amphibole P-T calcs'!FA26</f>
        <v>3.2196220654313962E-2</v>
      </c>
      <c r="CI26" s="103">
        <f>'Amphibole P-T calcs'!FB26</f>
        <v>2.9488505471499216</v>
      </c>
      <c r="CJ26" s="103">
        <f>'Amphibole P-T calcs'!FC26</f>
        <v>1.9267468954848659</v>
      </c>
      <c r="CK26" s="103">
        <f>'Amphibole P-T calcs'!FD26</f>
        <v>0.66046449904854387</v>
      </c>
      <c r="CL26" s="103">
        <f>'Amphibole P-T calcs'!FE26</f>
        <v>0.2405994725758698</v>
      </c>
      <c r="CM26">
        <f t="shared" si="66"/>
        <v>4.5827192339647738</v>
      </c>
      <c r="CN26">
        <f t="shared" si="67"/>
        <v>16.036285853599608</v>
      </c>
      <c r="CO26">
        <f t="shared" si="68"/>
        <v>13.244139010956381</v>
      </c>
      <c r="CQ26" s="3">
        <f t="shared" si="12"/>
        <v>0.36558385127676973</v>
      </c>
      <c r="CR26" s="3">
        <f t="shared" si="13"/>
        <v>1.4538110513603261E-2</v>
      </c>
      <c r="CS26" s="3">
        <f t="shared" si="14"/>
        <v>0.15977562124232442</v>
      </c>
      <c r="CT26" s="3">
        <f t="shared" si="15"/>
        <v>9.9878019186158171E-2</v>
      </c>
      <c r="CU26" s="3">
        <f t="shared" si="16"/>
        <v>0.18388613012208208</v>
      </c>
      <c r="CV26" s="3">
        <f t="shared" si="17"/>
        <v>0.12014919870316329</v>
      </c>
      <c r="CW26" s="3">
        <f t="shared" si="18"/>
        <v>4.1185627711936283E-2</v>
      </c>
      <c r="CX26" s="3">
        <f t="shared" si="19"/>
        <v>1.5003441243962566E-2</v>
      </c>
      <c r="CY26" s="3">
        <f t="shared" si="69"/>
        <v>0.99999999999999978</v>
      </c>
    </row>
    <row r="27" spans="1:103" ht="15.5" x14ac:dyDescent="0.35">
      <c r="A27" s="103" t="str">
        <f>'Amphibole P-T calcs'!A27</f>
        <v>11211A</v>
      </c>
      <c r="B27" s="103" t="str">
        <f>'Amphibole P-T calcs'!B27</f>
        <v>Merapi (2010)</v>
      </c>
      <c r="D27" s="108">
        <f t="shared" si="0"/>
        <v>2.6858179628205223E-2</v>
      </c>
      <c r="E27" s="108">
        <f t="shared" si="1"/>
        <v>0.23533548390115916</v>
      </c>
      <c r="F27" s="108">
        <f t="shared" si="2"/>
        <v>6.9608154245020856E-2</v>
      </c>
      <c r="G27" s="108">
        <f t="shared" si="3"/>
        <v>4.4331347011594573E-2</v>
      </c>
      <c r="H27" s="108">
        <f t="shared" si="4"/>
        <v>7.391205758183636E-2</v>
      </c>
      <c r="I27" s="108">
        <f t="shared" si="5"/>
        <v>0.13583760005450204</v>
      </c>
      <c r="J27" s="108">
        <f t="shared" si="6"/>
        <v>0.41411717757768179</v>
      </c>
      <c r="K27" s="108">
        <f t="shared" si="7"/>
        <v>-1.2372206392250418E-2</v>
      </c>
      <c r="L27" s="3">
        <f t="shared" si="20"/>
        <v>1</v>
      </c>
      <c r="N27" s="108">
        <f t="array" ref="N27:U27">MMULT(CQ27:CX27,$U$3:$AB$10)</f>
        <v>6.7211478740769144E-3</v>
      </c>
      <c r="O27" s="108">
        <v>5.889172718377695E-2</v>
      </c>
      <c r="P27" s="108">
        <v>1.7419151424210032E-2</v>
      </c>
      <c r="Q27" s="108">
        <v>1.1093735422375519E-2</v>
      </c>
      <c r="R27" s="108">
        <v>1.8496185354390918E-2</v>
      </c>
      <c r="S27" s="108">
        <v>3.3992795098713696E-2</v>
      </c>
      <c r="T27" s="108">
        <v>0.10363110330724089</v>
      </c>
      <c r="U27" s="108">
        <v>-3.0960932513679636E-3</v>
      </c>
      <c r="V27" s="108">
        <f t="shared" si="21"/>
        <v>0.25024584566478492</v>
      </c>
      <c r="X27">
        <f t="shared" si="22"/>
        <v>0.78282997307399882</v>
      </c>
      <c r="Y27">
        <f t="shared" si="23"/>
        <v>0.16373440452297985</v>
      </c>
      <c r="Z27">
        <f t="shared" si="24"/>
        <v>5.3435622403021472E-2</v>
      </c>
      <c r="AA27">
        <f t="shared" si="25"/>
        <v>1.0000000000000002</v>
      </c>
      <c r="AB27" s="100">
        <f t="shared" si="26"/>
        <v>0.21991527603259065</v>
      </c>
      <c r="AC27" s="100">
        <f t="shared" si="27"/>
        <v>5.3435622403021472E-2</v>
      </c>
      <c r="AE27">
        <f t="shared" si="28"/>
        <v>0.78855608454019666</v>
      </c>
      <c r="AF27">
        <f t="shared" si="29"/>
        <v>0.1321702035604459</v>
      </c>
      <c r="AG27">
        <f t="shared" si="30"/>
        <v>7.927371189935753E-2</v>
      </c>
      <c r="AH27">
        <f t="shared" si="31"/>
        <v>1.0000000000000002</v>
      </c>
      <c r="AI27" s="100">
        <f t="shared" si="32"/>
        <v>0.19838570411369705</v>
      </c>
      <c r="AJ27" s="100">
        <f t="shared" si="33"/>
        <v>7.927371189935753E-2</v>
      </c>
      <c r="AL27">
        <f t="shared" si="34"/>
        <v>0.7677529591658323</v>
      </c>
      <c r="AM27">
        <f t="shared" si="35"/>
        <v>8.7621494835953495E-2</v>
      </c>
      <c r="AN27">
        <f t="shared" si="36"/>
        <v>0.14462554599821426</v>
      </c>
      <c r="AO27">
        <f t="shared" si="37"/>
        <v>1</v>
      </c>
      <c r="AP27" s="100">
        <f t="shared" si="38"/>
        <v>0.1846761851744359</v>
      </c>
      <c r="AQ27" s="100">
        <f t="shared" si="39"/>
        <v>0.14462554599821426</v>
      </c>
      <c r="AS27">
        <f t="shared" si="40"/>
        <v>0.8190099350705925</v>
      </c>
      <c r="AT27">
        <f t="shared" si="41"/>
        <v>8.778125530933048E-2</v>
      </c>
      <c r="AU27">
        <f t="shared" si="42"/>
        <v>9.3208809620077132E-2</v>
      </c>
      <c r="AV27">
        <f t="shared" si="43"/>
        <v>1</v>
      </c>
      <c r="AW27" s="100">
        <f t="shared" si="44"/>
        <v>0.15517519409028654</v>
      </c>
      <c r="AX27" s="100">
        <f t="shared" si="45"/>
        <v>9.3208809620077132E-2</v>
      </c>
      <c r="AY27" s="100"/>
      <c r="AZ27" s="100">
        <f t="shared" si="46"/>
        <v>0.75968401565878485</v>
      </c>
      <c r="BA27" s="100">
        <f t="shared" si="47"/>
        <v>8.1422719893151696E-2</v>
      </c>
      <c r="BB27" s="100">
        <f t="shared" si="48"/>
        <v>0.15889326444806343</v>
      </c>
      <c r="BC27" s="100">
        <f t="shared" si="49"/>
        <v>1</v>
      </c>
      <c r="BD27" s="100">
        <f t="shared" si="50"/>
        <v>0.18575592749843306</v>
      </c>
      <c r="BE27" s="100">
        <f t="shared" si="51"/>
        <v>0.15889326444806343</v>
      </c>
      <c r="BF27" s="100"/>
      <c r="BG27" s="100">
        <f t="shared" si="52"/>
        <v>0.5339054013773924</v>
      </c>
      <c r="BH27" s="100">
        <f t="shared" si="53"/>
        <v>0.15791995714057402</v>
      </c>
      <c r="BI27" s="100">
        <f t="shared" si="54"/>
        <v>0.30817464148203361</v>
      </c>
      <c r="BJ27" s="100">
        <f t="shared" si="8"/>
        <v>1</v>
      </c>
      <c r="BK27" s="100">
        <f t="shared" si="55"/>
        <v>0.36027497174811762</v>
      </c>
      <c r="BL27" s="100">
        <f t="shared" si="56"/>
        <v>0.30817464148203361</v>
      </c>
      <c r="BM27" s="100"/>
      <c r="BN27" s="3">
        <f t="shared" si="9"/>
        <v>0.8459762791303671</v>
      </c>
      <c r="BO27" s="92">
        <f t="shared" si="10"/>
        <v>5.7745960896224212E-2</v>
      </c>
      <c r="BP27" s="3">
        <f t="shared" si="11"/>
        <v>9.6277759973408789E-2</v>
      </c>
      <c r="BQ27">
        <f t="shared" si="57"/>
        <v>1</v>
      </c>
      <c r="BR27" s="100">
        <f t="shared" si="58"/>
        <v>0.12226528277371904</v>
      </c>
      <c r="BS27" s="100">
        <f t="shared" si="59"/>
        <v>9.6277759973408789E-2</v>
      </c>
      <c r="BT27" s="100"/>
      <c r="BU27" s="3">
        <f t="shared" si="60"/>
        <v>0.75587861791115496</v>
      </c>
      <c r="BV27" s="92">
        <f t="shared" si="61"/>
        <v>0.15809733869711831</v>
      </c>
      <c r="BW27" s="3">
        <f t="shared" si="62"/>
        <v>8.6024043391726659E-2</v>
      </c>
      <c r="BX27">
        <f t="shared" si="63"/>
        <v>0.99999999999999989</v>
      </c>
      <c r="BY27" s="100">
        <f t="shared" si="64"/>
        <v>0.23222108671888281</v>
      </c>
      <c r="BZ27" s="100">
        <f t="shared" si="65"/>
        <v>8.6024043391726659E-2</v>
      </c>
      <c r="CB27" s="103">
        <f>'Amphibole P-T calcs'!EU27</f>
        <v>6.0882528155923099</v>
      </c>
      <c r="CC27" s="103">
        <f>'Amphibole P-T calcs'!EV27</f>
        <v>0.27655609154553207</v>
      </c>
      <c r="CD27" s="103">
        <f>'Amphibole P-T calcs'!EW27</f>
        <v>2.2674233310011225</v>
      </c>
      <c r="CE27" s="103">
        <f>'Amphibole P-T calcs'!EX27</f>
        <v>0</v>
      </c>
      <c r="CF27" s="103">
        <f>'Amphibole P-T calcs'!EY27</f>
        <v>0</v>
      </c>
      <c r="CG27" s="103">
        <f>'Amphibole P-T calcs'!EZ27</f>
        <v>1.6453047680249748</v>
      </c>
      <c r="CH27" s="103">
        <f>'Amphibole P-T calcs'!FA27</f>
        <v>3.3048073324622694E-2</v>
      </c>
      <c r="CI27" s="103">
        <f>'Amphibole P-T calcs'!FB27</f>
        <v>2.9127767566778155</v>
      </c>
      <c r="CJ27" s="103">
        <f>'Amphibole P-T calcs'!FC27</f>
        <v>1.8699953284377322</v>
      </c>
      <c r="CK27" s="103">
        <f>'Amphibole P-T calcs'!FD27</f>
        <v>0.64011424027109087</v>
      </c>
      <c r="CL27" s="103">
        <f>'Amphibole P-T calcs'!FE27</f>
        <v>0.17613028524387678</v>
      </c>
      <c r="CM27">
        <f t="shared" si="66"/>
        <v>4.5911295980274129</v>
      </c>
      <c r="CN27">
        <f t="shared" si="67"/>
        <v>15.876553616794453</v>
      </c>
      <c r="CO27">
        <f t="shared" si="68"/>
        <v>13.223361836166376</v>
      </c>
      <c r="CQ27" s="3">
        <f t="shared" si="12"/>
        <v>0.38347445941618374</v>
      </c>
      <c r="CR27" s="3">
        <f t="shared" si="13"/>
        <v>1.7419151424210032E-2</v>
      </c>
      <c r="CS27" s="3">
        <f t="shared" si="14"/>
        <v>0.14281583936469741</v>
      </c>
      <c r="CT27" s="3">
        <f t="shared" si="15"/>
        <v>0.10363110330724089</v>
      </c>
      <c r="CU27" s="3">
        <f t="shared" si="16"/>
        <v>0.1834640455971904</v>
      </c>
      <c r="CV27" s="3">
        <f t="shared" si="17"/>
        <v>0.1177834543675539</v>
      </c>
      <c r="CW27" s="3">
        <f t="shared" si="18"/>
        <v>4.0318211100548208E-2</v>
      </c>
      <c r="CX27" s="3">
        <f t="shared" si="19"/>
        <v>1.1093735422375519E-2</v>
      </c>
      <c r="CY27" s="3">
        <f t="shared" si="69"/>
        <v>1.0000000000000002</v>
      </c>
    </row>
    <row r="28" spans="1:103" ht="15.5" x14ac:dyDescent="0.35">
      <c r="A28" s="103" t="str">
        <f>'Amphibole P-T calcs'!A28</f>
        <v>11211B</v>
      </c>
      <c r="B28" s="103" t="str">
        <f>'Amphibole P-T calcs'!B28</f>
        <v>Merapi (2010)</v>
      </c>
      <c r="D28" s="108">
        <f t="shared" si="0"/>
        <v>1.2723313587296498E-2</v>
      </c>
      <c r="E28" s="108">
        <f t="shared" si="1"/>
        <v>0.24897566250496442</v>
      </c>
      <c r="F28" s="108">
        <f t="shared" si="2"/>
        <v>6.0073613661637687E-2</v>
      </c>
      <c r="G28" s="108">
        <f t="shared" si="3"/>
        <v>4.064585260674685E-2</v>
      </c>
      <c r="H28" s="108">
        <f t="shared" si="4"/>
        <v>6.7995353453811525E-2</v>
      </c>
      <c r="I28" s="108">
        <f t="shared" si="5"/>
        <v>0.14859717503520986</v>
      </c>
      <c r="J28" s="108">
        <f t="shared" si="6"/>
        <v>0.42098902915033309</v>
      </c>
      <c r="K28" s="108">
        <f t="shared" si="7"/>
        <v>-1.1282329959268324E-3</v>
      </c>
      <c r="L28" s="3">
        <f t="shared" si="20"/>
        <v>0.99999999999999989</v>
      </c>
      <c r="N28" s="108">
        <f t="array" ref="N28:U28">MMULT(CQ28:CX28,$U$3:$AB$10)</f>
        <v>3.0872981208987012E-3</v>
      </c>
      <c r="O28" s="108">
        <v>6.0413672093137048E-2</v>
      </c>
      <c r="P28" s="108">
        <v>1.4576796626182737E-2</v>
      </c>
      <c r="Q28" s="108">
        <v>9.8626716628619129E-3</v>
      </c>
      <c r="R28" s="108">
        <v>1.6498998119278487E-2</v>
      </c>
      <c r="S28" s="108">
        <v>3.6056941936502156E-2</v>
      </c>
      <c r="T28" s="108">
        <v>0.10215252730330303</v>
      </c>
      <c r="U28" s="108">
        <v>-2.7376450201923729E-4</v>
      </c>
      <c r="V28" s="108">
        <f t="shared" si="21"/>
        <v>0.24264890586216409</v>
      </c>
      <c r="X28">
        <f t="shared" si="22"/>
        <v>0.77974705837519875</v>
      </c>
      <c r="Y28">
        <f t="shared" si="23"/>
        <v>0.17294674116376357</v>
      </c>
      <c r="Z28">
        <f t="shared" si="24"/>
        <v>4.7306200461037617E-2</v>
      </c>
      <c r="AA28">
        <f t="shared" si="25"/>
        <v>1</v>
      </c>
      <c r="AB28" s="100">
        <f t="shared" si="26"/>
        <v>0.22701394270325331</v>
      </c>
      <c r="AC28" s="100">
        <f t="shared" si="27"/>
        <v>4.7306200461037617E-2</v>
      </c>
      <c r="AE28">
        <f t="shared" si="28"/>
        <v>0.79968563623986866</v>
      </c>
      <c r="AF28">
        <f t="shared" si="29"/>
        <v>0.12537090170145249</v>
      </c>
      <c r="AG28">
        <f t="shared" si="30"/>
        <v>7.4943462058678897E-2</v>
      </c>
      <c r="AH28">
        <f t="shared" si="31"/>
        <v>1</v>
      </c>
      <c r="AI28" s="100">
        <f t="shared" si="32"/>
        <v>0.18803447568534015</v>
      </c>
      <c r="AJ28" s="100">
        <f t="shared" si="33"/>
        <v>7.4943462058678897E-2</v>
      </c>
      <c r="AL28">
        <f t="shared" si="34"/>
        <v>0.82348245735278069</v>
      </c>
      <c r="AM28">
        <f t="shared" si="35"/>
        <v>4.2082127357841774E-2</v>
      </c>
      <c r="AN28">
        <f t="shared" si="36"/>
        <v>0.13443541528937764</v>
      </c>
      <c r="AO28">
        <f t="shared" si="37"/>
        <v>1</v>
      </c>
      <c r="AP28" s="100">
        <f t="shared" si="38"/>
        <v>0.12620857832218543</v>
      </c>
      <c r="AQ28" s="100">
        <f t="shared" si="39"/>
        <v>0.13443541528937764</v>
      </c>
      <c r="AS28">
        <f t="shared" si="40"/>
        <v>0.83951934143639928</v>
      </c>
      <c r="AT28">
        <f t="shared" si="41"/>
        <v>7.5277042517444978E-2</v>
      </c>
      <c r="AU28">
        <f t="shared" si="42"/>
        <v>8.5203616046155686E-2</v>
      </c>
      <c r="AV28">
        <f t="shared" si="43"/>
        <v>0.99999999999999989</v>
      </c>
      <c r="AW28" s="100">
        <f t="shared" si="44"/>
        <v>0.13611477218266901</v>
      </c>
      <c r="AX28" s="100">
        <f t="shared" si="45"/>
        <v>8.5203616046155686E-2</v>
      </c>
      <c r="AY28" s="100"/>
      <c r="AZ28" s="100">
        <f t="shared" si="46"/>
        <v>0.76250584757490658</v>
      </c>
      <c r="BA28" s="100">
        <f t="shared" si="47"/>
        <v>6.8371486247699675E-2</v>
      </c>
      <c r="BB28" s="100">
        <f t="shared" si="48"/>
        <v>0.1691226661773938</v>
      </c>
      <c r="BC28" s="100">
        <f t="shared" si="49"/>
        <v>1</v>
      </c>
      <c r="BD28" s="100">
        <f t="shared" si="50"/>
        <v>0.17659160882359393</v>
      </c>
      <c r="BE28" s="100">
        <f t="shared" si="51"/>
        <v>0.1691226661773938</v>
      </c>
      <c r="BF28" s="100"/>
      <c r="BG28" s="100">
        <f t="shared" si="52"/>
        <v>0.54403494630218752</v>
      </c>
      <c r="BH28" s="100">
        <f t="shared" si="53"/>
        <v>0.1312664252150981</v>
      </c>
      <c r="BI28" s="100">
        <f t="shared" si="54"/>
        <v>0.32469862848271447</v>
      </c>
      <c r="BJ28" s="100">
        <f t="shared" si="8"/>
        <v>1</v>
      </c>
      <c r="BK28" s="100">
        <f t="shared" si="55"/>
        <v>0.33903825242699104</v>
      </c>
      <c r="BL28" s="100">
        <f t="shared" si="56"/>
        <v>0.32469862848271447</v>
      </c>
      <c r="BM28" s="100"/>
      <c r="BN28" s="3">
        <f t="shared" si="9"/>
        <v>0.86046701369810852</v>
      </c>
      <c r="BO28" s="92">
        <f t="shared" si="10"/>
        <v>5.220337108412211E-2</v>
      </c>
      <c r="BP28" s="3">
        <f t="shared" si="11"/>
        <v>8.7329615217769302E-2</v>
      </c>
      <c r="BQ28">
        <f t="shared" si="57"/>
        <v>0.99999999999999989</v>
      </c>
      <c r="BR28" s="100">
        <f t="shared" si="58"/>
        <v>0.11069903755025319</v>
      </c>
      <c r="BS28" s="100">
        <f t="shared" si="59"/>
        <v>8.7329615217769302E-2</v>
      </c>
      <c r="BT28" s="100"/>
      <c r="BU28" s="3">
        <f t="shared" si="60"/>
        <v>0.75569255591448092</v>
      </c>
      <c r="BV28" s="92">
        <f t="shared" si="61"/>
        <v>0.16761148819138866</v>
      </c>
      <c r="BW28" s="3">
        <f t="shared" si="62"/>
        <v>7.6695955894130391E-2</v>
      </c>
      <c r="BX28">
        <f t="shared" si="63"/>
        <v>0.99999999999999989</v>
      </c>
      <c r="BY28" s="100">
        <f t="shared" si="64"/>
        <v>0.23782150643437586</v>
      </c>
      <c r="BZ28" s="100">
        <f t="shared" si="65"/>
        <v>7.6695955894130391E-2</v>
      </c>
      <c r="CB28" s="103">
        <f>'Amphibole P-T calcs'!EU28</f>
        <v>6.3995081510125091</v>
      </c>
      <c r="CC28" s="103">
        <f>'Amphibole P-T calcs'!EV28</f>
        <v>0.22939656592539218</v>
      </c>
      <c r="CD28" s="103">
        <f>'Amphibole P-T calcs'!EW28</f>
        <v>2.0648107842506862</v>
      </c>
      <c r="CE28" s="103">
        <f>'Amphibole P-T calcs'!EX28</f>
        <v>0</v>
      </c>
      <c r="CF28" s="103">
        <f>'Amphibole P-T calcs'!EY28</f>
        <v>0</v>
      </c>
      <c r="CG28" s="103">
        <f>'Amphibole P-T calcs'!EZ28</f>
        <v>1.6075849560723514</v>
      </c>
      <c r="CH28" s="103">
        <f>'Amphibole P-T calcs'!FA28</f>
        <v>0</v>
      </c>
      <c r="CI28" s="103">
        <f>'Amphibole P-T calcs'!FB28</f>
        <v>2.737502732977712</v>
      </c>
      <c r="CJ28" s="103">
        <f>'Amphibole P-T calcs'!FC28</f>
        <v>1.9014724933755969</v>
      </c>
      <c r="CK28" s="103">
        <f>'Amphibole P-T calcs'!FD28</f>
        <v>0.64161852399960684</v>
      </c>
      <c r="CL28" s="103">
        <f>'Amphibole P-T calcs'!FE28</f>
        <v>0.15520989064540971</v>
      </c>
      <c r="CM28">
        <f t="shared" si="66"/>
        <v>4.3450876890500636</v>
      </c>
      <c r="CN28">
        <f t="shared" si="67"/>
        <v>15.737104098259264</v>
      </c>
      <c r="CO28">
        <f t="shared" si="68"/>
        <v>13.038803190238651</v>
      </c>
      <c r="CQ28" s="3">
        <f t="shared" si="12"/>
        <v>0.40665093851164019</v>
      </c>
      <c r="CR28" s="3">
        <f t="shared" si="13"/>
        <v>1.4576796626182737E-2</v>
      </c>
      <c r="CS28" s="3">
        <f t="shared" si="14"/>
        <v>0.13120652766598156</v>
      </c>
      <c r="CT28" s="3">
        <f t="shared" si="15"/>
        <v>0.10215252730330303</v>
      </c>
      <c r="CU28" s="3">
        <f t="shared" si="16"/>
        <v>0.17395212714393346</v>
      </c>
      <c r="CV28" s="3">
        <f t="shared" si="17"/>
        <v>0.1208273441862741</v>
      </c>
      <c r="CW28" s="3">
        <f t="shared" si="18"/>
        <v>4.0771066899822982E-2</v>
      </c>
      <c r="CX28" s="3">
        <f t="shared" si="19"/>
        <v>9.8626716628619129E-3</v>
      </c>
      <c r="CY28" s="3">
        <f t="shared" si="69"/>
        <v>1</v>
      </c>
    </row>
    <row r="29" spans="1:103" ht="15.5" x14ac:dyDescent="0.35">
      <c r="A29" s="103" t="str">
        <f>'Amphibole P-T calcs'!A29</f>
        <v>11212A</v>
      </c>
      <c r="B29" s="103" t="str">
        <f>'Amphibole P-T calcs'!B29</f>
        <v>Merapi (2010)</v>
      </c>
      <c r="D29" s="108">
        <f t="shared" si="0"/>
        <v>4.056948540718068E-2</v>
      </c>
      <c r="E29" s="108">
        <f t="shared" si="1"/>
        <v>0.21052962038033923</v>
      </c>
      <c r="F29" s="108">
        <f t="shared" si="2"/>
        <v>8.4386508760753709E-2</v>
      </c>
      <c r="G29" s="108">
        <f t="shared" si="3"/>
        <v>4.8809908635212111E-2</v>
      </c>
      <c r="H29" s="108">
        <f t="shared" si="4"/>
        <v>6.4934475236763836E-2</v>
      </c>
      <c r="I29" s="108">
        <f t="shared" si="5"/>
        <v>0.11718734233453633</v>
      </c>
      <c r="J29" s="108">
        <f t="shared" si="6"/>
        <v>0.43358265924521405</v>
      </c>
      <c r="K29" s="108">
        <f t="shared" si="7"/>
        <v>-1.7619102179333393E-2</v>
      </c>
      <c r="L29" s="3">
        <f t="shared" si="20"/>
        <v>1</v>
      </c>
      <c r="N29" s="108">
        <f t="array" ref="N29:U29">MMULT(CQ29:CX29,$U$3:$AB$10)</f>
        <v>1.0774166415652243E-2</v>
      </c>
      <c r="O29" s="108">
        <v>5.5911016436022816E-2</v>
      </c>
      <c r="P29" s="108">
        <v>2.2410791744066134E-2</v>
      </c>
      <c r="Q29" s="108">
        <v>1.2962601647283316E-2</v>
      </c>
      <c r="R29" s="108">
        <v>1.7244853743945032E-2</v>
      </c>
      <c r="S29" s="108">
        <v>3.1121812747884343E-2</v>
      </c>
      <c r="T29" s="108">
        <v>0.11514791668572989</v>
      </c>
      <c r="U29" s="108">
        <v>-4.6791606319196623E-3</v>
      </c>
      <c r="V29" s="108">
        <f t="shared" si="21"/>
        <v>0.26557315942058379</v>
      </c>
      <c r="X29">
        <f t="shared" si="22"/>
        <v>0.79509283041298517</v>
      </c>
      <c r="Y29">
        <f t="shared" si="23"/>
        <v>0.14465617044206633</v>
      </c>
      <c r="Z29">
        <f t="shared" si="24"/>
        <v>6.0250999144948449E-2</v>
      </c>
      <c r="AA29">
        <f t="shared" si="25"/>
        <v>1</v>
      </c>
      <c r="AB29" s="100">
        <f t="shared" si="26"/>
        <v>0.20182048846461464</v>
      </c>
      <c r="AC29" s="100">
        <f t="shared" si="27"/>
        <v>6.0250999144948449E-2</v>
      </c>
      <c r="AE29">
        <f t="shared" si="28"/>
        <v>0.80652312379275981</v>
      </c>
      <c r="AF29">
        <f t="shared" si="29"/>
        <v>0.11045221750118232</v>
      </c>
      <c r="AG29">
        <f t="shared" si="30"/>
        <v>8.3024658706057908E-2</v>
      </c>
      <c r="AH29">
        <f t="shared" si="31"/>
        <v>1</v>
      </c>
      <c r="AI29" s="100">
        <f t="shared" si="32"/>
        <v>0.17547354406711674</v>
      </c>
      <c r="AJ29" s="100">
        <f t="shared" si="33"/>
        <v>8.3024658706057908E-2</v>
      </c>
      <c r="AL29">
        <f t="shared" si="34"/>
        <v>0.70197830093759872</v>
      </c>
      <c r="AM29">
        <f t="shared" si="35"/>
        <v>0.13527264422267951</v>
      </c>
      <c r="AN29">
        <f t="shared" si="36"/>
        <v>0.16274905483972174</v>
      </c>
      <c r="AO29">
        <f t="shared" si="37"/>
        <v>1</v>
      </c>
      <c r="AP29" s="100">
        <f t="shared" si="38"/>
        <v>0.25016260573398347</v>
      </c>
      <c r="AQ29" s="100">
        <f t="shared" si="39"/>
        <v>0.16274905483972174</v>
      </c>
      <c r="AS29">
        <f t="shared" si="40"/>
        <v>0.81180397792289416</v>
      </c>
      <c r="AT29">
        <f t="shared" si="41"/>
        <v>0.10635615196597357</v>
      </c>
      <c r="AU29">
        <f t="shared" si="42"/>
        <v>8.1839870111132196E-2</v>
      </c>
      <c r="AV29">
        <f t="shared" si="43"/>
        <v>1</v>
      </c>
      <c r="AW29" s="100">
        <f t="shared" si="44"/>
        <v>0.17005977697416136</v>
      </c>
      <c r="AX29" s="100">
        <f t="shared" si="45"/>
        <v>8.1839870111132196E-2</v>
      </c>
      <c r="AY29" s="100"/>
      <c r="AZ29" s="100">
        <f t="shared" si="46"/>
        <v>0.76164460575524262</v>
      </c>
      <c r="BA29" s="100">
        <f t="shared" si="47"/>
        <v>9.9784666787457649E-2</v>
      </c>
      <c r="BB29" s="100">
        <f t="shared" si="48"/>
        <v>0.1385707274572997</v>
      </c>
      <c r="BC29" s="100">
        <f t="shared" si="49"/>
        <v>1</v>
      </c>
      <c r="BD29" s="100">
        <f t="shared" si="50"/>
        <v>0.1952252552607458</v>
      </c>
      <c r="BE29" s="100">
        <f t="shared" si="51"/>
        <v>0.1385707274572997</v>
      </c>
      <c r="BF29" s="100"/>
      <c r="BG29" s="100">
        <f t="shared" si="52"/>
        <v>0.51086592312967061</v>
      </c>
      <c r="BH29" s="100">
        <f t="shared" si="53"/>
        <v>0.20477019632615276</v>
      </c>
      <c r="BI29" s="100">
        <f t="shared" si="54"/>
        <v>0.28436388054417655</v>
      </c>
      <c r="BJ29" s="100">
        <f t="shared" si="8"/>
        <v>1</v>
      </c>
      <c r="BK29" s="100">
        <f t="shared" si="55"/>
        <v>0.40062581892182048</v>
      </c>
      <c r="BL29" s="100">
        <f t="shared" si="56"/>
        <v>0.28436388054417655</v>
      </c>
      <c r="BM29" s="100"/>
      <c r="BN29" s="3">
        <f t="shared" si="9"/>
        <v>0.84991306489667517</v>
      </c>
      <c r="BO29" s="92">
        <f t="shared" si="10"/>
        <v>6.4405198220403637E-2</v>
      </c>
      <c r="BP29" s="3">
        <f t="shared" si="11"/>
        <v>8.5681736882921175E-2</v>
      </c>
      <c r="BQ29">
        <f t="shared" si="57"/>
        <v>0.99999999999999989</v>
      </c>
      <c r="BR29" s="100">
        <f t="shared" si="58"/>
        <v>0.12383709091351171</v>
      </c>
      <c r="BS29" s="100">
        <f t="shared" si="59"/>
        <v>8.5681736882921175E-2</v>
      </c>
      <c r="BT29" s="100"/>
      <c r="BU29" s="3">
        <f t="shared" si="60"/>
        <v>0.77957600855595177</v>
      </c>
      <c r="BV29" s="92">
        <f t="shared" si="61"/>
        <v>0.14183309879381073</v>
      </c>
      <c r="BW29" s="3">
        <f t="shared" si="62"/>
        <v>7.859089265023754E-2</v>
      </c>
      <c r="BX29">
        <f t="shared" si="63"/>
        <v>1</v>
      </c>
      <c r="BY29" s="100">
        <f t="shared" si="64"/>
        <v>0.20914922856467844</v>
      </c>
      <c r="BZ29" s="100">
        <f t="shared" si="65"/>
        <v>7.859089265023754E-2</v>
      </c>
      <c r="CB29" s="103">
        <f>'Amphibole P-T calcs'!EU29</f>
        <v>5.8910518769630125</v>
      </c>
      <c r="CC29" s="103">
        <f>'Amphibole P-T calcs'!EV29</f>
        <v>0.35755564850025134</v>
      </c>
      <c r="CD29" s="103">
        <f>'Amphibole P-T calcs'!EW29</f>
        <v>2.3121882679148849</v>
      </c>
      <c r="CE29" s="103">
        <f>'Amphibole P-T calcs'!EX29</f>
        <v>3.2587134263271848E-3</v>
      </c>
      <c r="CF29" s="103">
        <f>'Amphibole P-T calcs'!EY29</f>
        <v>0</v>
      </c>
      <c r="CG29" s="103">
        <f>'Amphibole P-T calcs'!EZ29</f>
        <v>1.8371411636949602</v>
      </c>
      <c r="CH29" s="103">
        <f>'Amphibole P-T calcs'!FA29</f>
        <v>6.2837219171919492E-2</v>
      </c>
      <c r="CI29" s="103">
        <f>'Amphibole P-T calcs'!FB29</f>
        <v>2.9185119802591424</v>
      </c>
      <c r="CJ29" s="103">
        <f>'Amphibole P-T calcs'!FC29</f>
        <v>1.7840779539066118</v>
      </c>
      <c r="CK29" s="103">
        <f>'Amphibole P-T calcs'!FD29</f>
        <v>0.64727894678789633</v>
      </c>
      <c r="CL29" s="103">
        <f>'Amphibole P-T calcs'!FE29</f>
        <v>0.20681337327013513</v>
      </c>
      <c r="CM29">
        <f t="shared" si="66"/>
        <v>4.8184903631260223</v>
      </c>
      <c r="CN29">
        <f t="shared" si="67"/>
        <v>15.954619211296892</v>
      </c>
      <c r="CO29">
        <f t="shared" si="68"/>
        <v>13.382544869930497</v>
      </c>
      <c r="CQ29" s="3">
        <f t="shared" si="12"/>
        <v>0.36923801182241756</v>
      </c>
      <c r="CR29" s="3">
        <f t="shared" si="13"/>
        <v>2.2410791744066134E-2</v>
      </c>
      <c r="CS29" s="3">
        <f t="shared" si="14"/>
        <v>0.14492281121179673</v>
      </c>
      <c r="CT29" s="3">
        <f t="shared" si="15"/>
        <v>0.11514791668572989</v>
      </c>
      <c r="CU29" s="3">
        <f t="shared" si="16"/>
        <v>0.18292583117199368</v>
      </c>
      <c r="CV29" s="3">
        <f t="shared" si="17"/>
        <v>0.11182203287204563</v>
      </c>
      <c r="CW29" s="3">
        <f t="shared" si="18"/>
        <v>4.0570002844667163E-2</v>
      </c>
      <c r="CX29" s="3">
        <f t="shared" si="19"/>
        <v>1.2962601647283316E-2</v>
      </c>
      <c r="CY29" s="3">
        <f t="shared" si="69"/>
        <v>1</v>
      </c>
    </row>
    <row r="30" spans="1:103" ht="15.5" x14ac:dyDescent="0.35">
      <c r="A30" s="103" t="str">
        <f>'Amphibole P-T calcs'!A30</f>
        <v>AUGUSTINE</v>
      </c>
      <c r="B30" s="103" t="str">
        <f>'Amphibole P-T calcs'!B30</f>
        <v>TAPPEN ET AL. 2009</v>
      </c>
      <c r="D30" s="108">
        <f t="shared" si="0"/>
        <v>4.0913328645979699E-2</v>
      </c>
      <c r="E30" s="108">
        <f t="shared" si="1"/>
        <v>0.26576016446658501</v>
      </c>
      <c r="F30" s="108">
        <f t="shared" si="2"/>
        <v>4.1385650178947894E-2</v>
      </c>
      <c r="G30" s="108">
        <f t="shared" si="3"/>
        <v>9.7011374742476831E-3</v>
      </c>
      <c r="H30" s="108">
        <f t="shared" si="4"/>
        <v>5.7584791582525816E-2</v>
      </c>
      <c r="I30" s="108">
        <f t="shared" si="5"/>
        <v>9.4939242881321551E-2</v>
      </c>
      <c r="J30" s="108">
        <f t="shared" si="6"/>
        <v>0.4897156847703924</v>
      </c>
      <c r="K30" s="108">
        <f t="shared" si="7"/>
        <v>-5.9095554241325688E-3</v>
      </c>
      <c r="L30" s="3">
        <f t="shared" si="20"/>
        <v>1</v>
      </c>
      <c r="N30" s="108">
        <f t="array" ref="N30:U30">MMULT(CQ30:CX30,$U$3:$AB$10)</f>
        <v>8.7637601636029287E-3</v>
      </c>
      <c r="O30" s="108">
        <v>5.6926640278477623E-2</v>
      </c>
      <c r="P30" s="108">
        <v>8.8649328809551568E-3</v>
      </c>
      <c r="Q30" s="108">
        <v>2.0780133260264958E-3</v>
      </c>
      <c r="R30" s="108">
        <v>1.2334838528223901E-2</v>
      </c>
      <c r="S30" s="108">
        <v>2.0336276276257143E-2</v>
      </c>
      <c r="T30" s="108">
        <v>0.10489859788282023</v>
      </c>
      <c r="U30" s="108">
        <v>-1.2658448511669973E-3</v>
      </c>
      <c r="V30" s="108">
        <f t="shared" si="21"/>
        <v>0.21420305933636347</v>
      </c>
      <c r="X30">
        <f t="shared" si="22"/>
        <v>0.87834158134053653</v>
      </c>
      <c r="Y30">
        <f t="shared" si="23"/>
        <v>0.11037955059433778</v>
      </c>
      <c r="Z30">
        <f t="shared" si="24"/>
        <v>1.1278868065125682E-2</v>
      </c>
      <c r="AA30">
        <f t="shared" si="25"/>
        <v>1</v>
      </c>
      <c r="AB30" s="100">
        <f t="shared" si="26"/>
        <v>0.13396718401089625</v>
      </c>
      <c r="AC30" s="100">
        <f t="shared" si="27"/>
        <v>1.1278868065125682E-2</v>
      </c>
      <c r="AE30">
        <f t="shared" si="28"/>
        <v>0.88746571748406244</v>
      </c>
      <c r="AF30">
        <f t="shared" si="29"/>
        <v>9.6309336816937208E-2</v>
      </c>
      <c r="AG30">
        <f t="shared" si="30"/>
        <v>1.6224945699000314E-2</v>
      </c>
      <c r="AH30">
        <f t="shared" si="31"/>
        <v>1</v>
      </c>
      <c r="AI30" s="100">
        <f t="shared" si="32"/>
        <v>0.12057591984037094</v>
      </c>
      <c r="AJ30" s="100">
        <f t="shared" si="33"/>
        <v>1.6224945699000314E-2</v>
      </c>
      <c r="AL30">
        <f t="shared" si="34"/>
        <v>0.84001730471767744</v>
      </c>
      <c r="AM30">
        <f t="shared" si="35"/>
        <v>0.12931924588925972</v>
      </c>
      <c r="AN30">
        <f t="shared" si="36"/>
        <v>3.0663449393062873E-2</v>
      </c>
      <c r="AO30">
        <f t="shared" si="37"/>
        <v>1</v>
      </c>
      <c r="AP30" s="100">
        <f t="shared" si="38"/>
        <v>0.1670285536124943</v>
      </c>
      <c r="AQ30" s="100">
        <f t="shared" si="39"/>
        <v>3.0663449393062873E-2</v>
      </c>
      <c r="AS30">
        <f t="shared" si="40"/>
        <v>0.884170084411247</v>
      </c>
      <c r="AT30">
        <f t="shared" si="41"/>
        <v>4.8435636756743693E-2</v>
      </c>
      <c r="AU30">
        <f t="shared" si="42"/>
        <v>6.7394278832009352E-2</v>
      </c>
      <c r="AV30">
        <f t="shared" si="43"/>
        <v>1</v>
      </c>
      <c r="AW30" s="100">
        <f t="shared" si="44"/>
        <v>9.4838760865255098E-2</v>
      </c>
      <c r="AX30" s="100">
        <f t="shared" si="45"/>
        <v>6.7394278832009352E-2</v>
      </c>
      <c r="AY30" s="100"/>
      <c r="AZ30" s="100">
        <f t="shared" si="46"/>
        <v>0.84713525500202946</v>
      </c>
      <c r="BA30" s="100">
        <f t="shared" si="47"/>
        <v>4.6406835312045085E-2</v>
      </c>
      <c r="BB30" s="100">
        <f t="shared" si="48"/>
        <v>0.10645790968592542</v>
      </c>
      <c r="BC30" s="100">
        <f t="shared" si="49"/>
        <v>0.99999999999999989</v>
      </c>
      <c r="BD30" s="100">
        <f t="shared" si="50"/>
        <v>0.11504950053382962</v>
      </c>
      <c r="BE30" s="100">
        <f t="shared" si="51"/>
        <v>0.10645790968592542</v>
      </c>
      <c r="BF30" s="100"/>
      <c r="BG30" s="100">
        <f t="shared" si="52"/>
        <v>0.66095508771507983</v>
      </c>
      <c r="BH30" s="100">
        <f t="shared" si="53"/>
        <v>0.10292760052687068</v>
      </c>
      <c r="BI30" s="100">
        <f t="shared" si="54"/>
        <v>0.23611731175804948</v>
      </c>
      <c r="BJ30" s="100">
        <f t="shared" si="8"/>
        <v>1</v>
      </c>
      <c r="BK30" s="100">
        <f t="shared" si="55"/>
        <v>0.25517294924630274</v>
      </c>
      <c r="BL30" s="100">
        <f t="shared" si="56"/>
        <v>0.23611731175804948</v>
      </c>
      <c r="BM30" s="100"/>
      <c r="BN30" s="3">
        <f t="shared" si="9"/>
        <v>0.91821942774698218</v>
      </c>
      <c r="BO30" s="92">
        <f t="shared" si="10"/>
        <v>1.1790943296328094E-2</v>
      </c>
      <c r="BP30" s="3">
        <f t="shared" si="11"/>
        <v>6.9989628956689698E-2</v>
      </c>
      <c r="BQ30">
        <f t="shared" si="57"/>
        <v>1</v>
      </c>
      <c r="BR30" s="100">
        <f t="shared" si="58"/>
        <v>5.40235396908961E-2</v>
      </c>
      <c r="BS30" s="100">
        <f t="shared" si="59"/>
        <v>6.9989628956689698E-2</v>
      </c>
      <c r="BT30" s="100"/>
      <c r="BU30" s="3">
        <f t="shared" si="60"/>
        <v>0.83202196696084352</v>
      </c>
      <c r="BV30" s="92">
        <f t="shared" si="61"/>
        <v>0.10455865092665904</v>
      </c>
      <c r="BW30" s="3">
        <f t="shared" si="62"/>
        <v>6.3419382112497411E-2</v>
      </c>
      <c r="BX30">
        <f t="shared" si="63"/>
        <v>1</v>
      </c>
      <c r="BY30" s="100">
        <f t="shared" si="64"/>
        <v>0.15734912785171154</v>
      </c>
      <c r="BZ30" s="100">
        <f t="shared" si="65"/>
        <v>6.3419382112497411E-2</v>
      </c>
      <c r="CB30" s="103">
        <f>'Amphibole P-T calcs'!EU30</f>
        <v>6.9276137664597037</v>
      </c>
      <c r="CC30" s="103">
        <f>'Amphibole P-T calcs'!EV30</f>
        <v>0.13701181972939874</v>
      </c>
      <c r="CD30" s="103">
        <f>'Amphibole P-T calcs'!EW30</f>
        <v>1.3508941627449516</v>
      </c>
      <c r="CE30" s="103">
        <f>'Amphibole P-T calcs'!EX30</f>
        <v>0</v>
      </c>
      <c r="CF30" s="103">
        <f>'Amphibole P-T calcs'!EY30</f>
        <v>0</v>
      </c>
      <c r="CG30" s="103">
        <f>'Amphibole P-T calcs'!EZ30</f>
        <v>1.621258499752916</v>
      </c>
      <c r="CH30" s="103">
        <f>'Amphibole P-T calcs'!FA30</f>
        <v>3.0103695873267198E-2</v>
      </c>
      <c r="CI30" s="103">
        <f>'Amphibole P-T calcs'!FB30</f>
        <v>3.2077285456554505</v>
      </c>
      <c r="CJ30" s="103">
        <f>'Amphibole P-T calcs'!FC30</f>
        <v>1.7596574458880123</v>
      </c>
      <c r="CK30" s="103">
        <f>'Amphibole P-T calcs'!FD30</f>
        <v>0.41920209296691313</v>
      </c>
      <c r="CL30" s="103">
        <f>'Amphibole P-T calcs'!FE30</f>
        <v>3.2116699702542363E-2</v>
      </c>
      <c r="CM30">
        <f t="shared" si="66"/>
        <v>4.8590907412816335</v>
      </c>
      <c r="CN30">
        <f t="shared" si="67"/>
        <v>15.455483032899886</v>
      </c>
      <c r="CO30">
        <f t="shared" si="68"/>
        <v>13.274610490215688</v>
      </c>
      <c r="CQ30" s="3">
        <f t="shared" si="12"/>
        <v>0.44823016865360871</v>
      </c>
      <c r="CR30" s="3">
        <f t="shared" si="13"/>
        <v>8.8649328809551568E-3</v>
      </c>
      <c r="CS30" s="3">
        <f t="shared" si="14"/>
        <v>8.7405496151063064E-2</v>
      </c>
      <c r="CT30" s="3">
        <f t="shared" si="15"/>
        <v>0.10489859788282023</v>
      </c>
      <c r="CU30" s="3">
        <f t="shared" si="16"/>
        <v>0.20754631471738544</v>
      </c>
      <c r="CV30" s="3">
        <f t="shared" si="17"/>
        <v>0.11385328055695525</v>
      </c>
      <c r="CW30" s="3">
        <f t="shared" si="18"/>
        <v>2.7123195831185803E-2</v>
      </c>
      <c r="CX30" s="3">
        <f t="shared" si="19"/>
        <v>2.0780133260264958E-3</v>
      </c>
      <c r="CY30" s="3">
        <f t="shared" si="69"/>
        <v>1</v>
      </c>
    </row>
    <row r="31" spans="1:103" ht="15.5" x14ac:dyDescent="0.35">
      <c r="A31" s="103" t="str">
        <f>'Amphibole P-T calcs'!A31</f>
        <v>AUGUSTINE</v>
      </c>
      <c r="B31" s="103" t="str">
        <f>'Amphibole P-T calcs'!B31</f>
        <v>TAPPEN ET AL. 2009</v>
      </c>
      <c r="D31" s="108">
        <f t="shared" si="0"/>
        <v>4.0429197135706786E-2</v>
      </c>
      <c r="E31" s="108">
        <f t="shared" si="1"/>
        <v>0.28365058867710274</v>
      </c>
      <c r="F31" s="108">
        <f t="shared" si="2"/>
        <v>4.6392649958607014E-2</v>
      </c>
      <c r="G31" s="108">
        <f t="shared" si="3"/>
        <v>9.0787520150624849E-3</v>
      </c>
      <c r="H31" s="108">
        <f t="shared" si="4"/>
        <v>4.9345160185059848E-2</v>
      </c>
      <c r="I31" s="108">
        <f t="shared" si="5"/>
        <v>8.5027977113762435E-2</v>
      </c>
      <c r="J31" s="108">
        <f t="shared" si="6"/>
        <v>0.48607567491469883</v>
      </c>
      <c r="K31" s="108">
        <f t="shared" si="7"/>
        <v>-3.1718640766343572E-3</v>
      </c>
      <c r="L31" s="3">
        <f t="shared" si="20"/>
        <v>1.0000000000000002</v>
      </c>
      <c r="N31" s="108">
        <f t="array" ref="N31:U31">MMULT(CQ31:CX31,$U$3:$AB$10)</f>
        <v>8.1573944970897323E-3</v>
      </c>
      <c r="O31" s="108">
        <v>5.7232146940837586E-2</v>
      </c>
      <c r="P31" s="108">
        <v>9.3606396933248199E-3</v>
      </c>
      <c r="Q31" s="108">
        <v>1.8318187590894469E-3</v>
      </c>
      <c r="R31" s="108">
        <v>9.9563673451261454E-3</v>
      </c>
      <c r="S31" s="108">
        <v>1.7156085248942247E-2</v>
      </c>
      <c r="T31" s="108">
        <v>9.8075433514270394E-2</v>
      </c>
      <c r="U31" s="108">
        <v>-6.3998665314582372E-4</v>
      </c>
      <c r="V31" s="108">
        <f t="shared" si="21"/>
        <v>0.20176988599868034</v>
      </c>
      <c r="X31">
        <f t="shared" si="22"/>
        <v>0.89105911684104888</v>
      </c>
      <c r="Y31">
        <f t="shared" si="23"/>
        <v>9.8431036821097037E-2</v>
      </c>
      <c r="Z31">
        <f t="shared" si="24"/>
        <v>1.0509846337854171E-2</v>
      </c>
      <c r="AA31">
        <f t="shared" si="25"/>
        <v>1</v>
      </c>
      <c r="AB31" s="100">
        <f t="shared" si="26"/>
        <v>0.11972623382285037</v>
      </c>
      <c r="AC31" s="100">
        <f t="shared" si="27"/>
        <v>1.0509846337854171E-2</v>
      </c>
      <c r="AE31">
        <f t="shared" si="28"/>
        <v>0.90011790533614922</v>
      </c>
      <c r="AF31">
        <f t="shared" si="29"/>
        <v>8.4360970965527082E-2</v>
      </c>
      <c r="AG31">
        <f t="shared" si="30"/>
        <v>1.5521123698323603E-2</v>
      </c>
      <c r="AH31">
        <f t="shared" si="31"/>
        <v>0.99999999999999989</v>
      </c>
      <c r="AI31" s="100">
        <f t="shared" si="32"/>
        <v>0.10637278353744314</v>
      </c>
      <c r="AJ31" s="100">
        <f t="shared" si="33"/>
        <v>1.5521123698323603E-2</v>
      </c>
      <c r="AL31">
        <f t="shared" si="34"/>
        <v>0.85139822778203045</v>
      </c>
      <c r="AM31">
        <f t="shared" si="35"/>
        <v>0.12135122635396706</v>
      </c>
      <c r="AN31">
        <f t="shared" si="36"/>
        <v>2.7250545864002638E-2</v>
      </c>
      <c r="AO31">
        <f t="shared" si="37"/>
        <v>1.0000000000000002</v>
      </c>
      <c r="AP31" s="100">
        <f t="shared" si="38"/>
        <v>0.15585743639405433</v>
      </c>
      <c r="AQ31" s="100">
        <f t="shared" si="39"/>
        <v>2.7250545864002638E-2</v>
      </c>
      <c r="AS31">
        <f t="shared" si="40"/>
        <v>0.88937979859701333</v>
      </c>
      <c r="AT31">
        <f t="shared" si="41"/>
        <v>5.3604362522374396E-2</v>
      </c>
      <c r="AU31">
        <f t="shared" si="42"/>
        <v>5.7015838880612318E-2</v>
      </c>
      <c r="AV31">
        <f t="shared" si="43"/>
        <v>1</v>
      </c>
      <c r="AW31" s="100">
        <f t="shared" si="44"/>
        <v>9.4815096189856146E-2</v>
      </c>
      <c r="AX31" s="100">
        <f t="shared" si="45"/>
        <v>5.7015838880612318E-2</v>
      </c>
      <c r="AY31" s="100"/>
      <c r="AZ31" s="100">
        <f t="shared" si="46"/>
        <v>0.85416292456437526</v>
      </c>
      <c r="BA31" s="100">
        <f t="shared" si="47"/>
        <v>5.1481784422974936E-2</v>
      </c>
      <c r="BB31" s="100">
        <f t="shared" si="48"/>
        <v>9.4355291012649875E-2</v>
      </c>
      <c r="BC31" s="100">
        <f t="shared" si="49"/>
        <v>1</v>
      </c>
      <c r="BD31" s="100">
        <f t="shared" si="50"/>
        <v>0.1139220968555526</v>
      </c>
      <c r="BE31" s="100">
        <f t="shared" si="51"/>
        <v>9.4355291012649875E-2</v>
      </c>
      <c r="BF31" s="100"/>
      <c r="BG31" s="100">
        <f t="shared" si="52"/>
        <v>0.68337812383576124</v>
      </c>
      <c r="BH31" s="100">
        <f t="shared" si="53"/>
        <v>0.11177033771141721</v>
      </c>
      <c r="BI31" s="100">
        <f t="shared" si="54"/>
        <v>0.20485153845282167</v>
      </c>
      <c r="BJ31" s="100">
        <f t="shared" si="8"/>
        <v>1</v>
      </c>
      <c r="BK31" s="100">
        <f t="shared" si="55"/>
        <v>0.24733235999984976</v>
      </c>
      <c r="BL31" s="100">
        <f t="shared" si="56"/>
        <v>0.20485153845282167</v>
      </c>
      <c r="BM31" s="100"/>
      <c r="BN31" s="3">
        <f t="shared" si="9"/>
        <v>0.92945251488444824</v>
      </c>
      <c r="BO31" s="92">
        <f t="shared" si="10"/>
        <v>1.0962688025008108E-2</v>
      </c>
      <c r="BP31" s="3">
        <f t="shared" si="11"/>
        <v>5.9584797090543658E-2</v>
      </c>
      <c r="BQ31">
        <f t="shared" si="57"/>
        <v>1</v>
      </c>
      <c r="BR31" s="100">
        <f t="shared" si="58"/>
        <v>4.7059920404395245E-2</v>
      </c>
      <c r="BS31" s="100">
        <f t="shared" si="59"/>
        <v>5.9584797090543658E-2</v>
      </c>
      <c r="BT31" s="100"/>
      <c r="BU31" s="3">
        <f t="shared" si="60"/>
        <v>0.85137349149169661</v>
      </c>
      <c r="BV31" s="92">
        <f t="shared" si="61"/>
        <v>9.4047155688856549E-2</v>
      </c>
      <c r="BW31" s="3">
        <f t="shared" si="62"/>
        <v>5.4579352819446814E-2</v>
      </c>
      <c r="BX31">
        <f t="shared" si="63"/>
        <v>1</v>
      </c>
      <c r="BY31" s="100">
        <f t="shared" si="64"/>
        <v>0.1401077053494631</v>
      </c>
      <c r="BZ31" s="100">
        <f t="shared" si="65"/>
        <v>5.4579352819446814E-2</v>
      </c>
      <c r="CB31" s="103">
        <f>'Amphibole P-T calcs'!EU31</f>
        <v>7.0703929210356531</v>
      </c>
      <c r="CC31" s="103">
        <f>'Amphibole P-T calcs'!EV31</f>
        <v>0.14388747240336466</v>
      </c>
      <c r="CD31" s="103">
        <f>'Amphibole P-T calcs'!EW31</f>
        <v>1.1636693428244311</v>
      </c>
      <c r="CE31" s="103">
        <f>'Amphibole P-T calcs'!EX31</f>
        <v>0</v>
      </c>
      <c r="CF31" s="103">
        <f>'Amphibole P-T calcs'!EY31</f>
        <v>0</v>
      </c>
      <c r="CG31" s="103">
        <f>'Amphibole P-T calcs'!EZ31</f>
        <v>1.5075707105034621</v>
      </c>
      <c r="CH31" s="103">
        <f>'Amphibole P-T calcs'!FA31</f>
        <v>3.6143756046118893E-2</v>
      </c>
      <c r="CI31" s="103">
        <f>'Amphibole P-T calcs'!FB31</f>
        <v>3.3189264711161162</v>
      </c>
      <c r="CJ31" s="103">
        <f>'Amphibole P-T calcs'!FC31</f>
        <v>1.7594927768467674</v>
      </c>
      <c r="CK31" s="103">
        <f>'Amphibole P-T calcs'!FD31</f>
        <v>0.37944508853860487</v>
      </c>
      <c r="CL31" s="103">
        <f>'Amphibole P-T calcs'!FE31</f>
        <v>2.8157880207098179E-2</v>
      </c>
      <c r="CM31">
        <f t="shared" si="66"/>
        <v>4.8626409376656969</v>
      </c>
      <c r="CN31">
        <f t="shared" si="67"/>
        <v>15.371542663475498</v>
      </c>
      <c r="CO31">
        <f t="shared" si="68"/>
        <v>13.240590673929146</v>
      </c>
      <c r="CQ31" s="3">
        <f t="shared" si="12"/>
        <v>0.45996638566639741</v>
      </c>
      <c r="CR31" s="3">
        <f t="shared" si="13"/>
        <v>9.3606396933248199E-3</v>
      </c>
      <c r="CS31" s="3">
        <f t="shared" si="14"/>
        <v>7.5702834016096468E-2</v>
      </c>
      <c r="CT31" s="3">
        <f t="shared" si="15"/>
        <v>9.8075433514270394E-2</v>
      </c>
      <c r="CU31" s="3">
        <f t="shared" si="16"/>
        <v>0.2159136882859686</v>
      </c>
      <c r="CV31" s="3">
        <f t="shared" si="17"/>
        <v>0.11446429388167517</v>
      </c>
      <c r="CW31" s="3">
        <f t="shared" si="18"/>
        <v>2.4684906183177618E-2</v>
      </c>
      <c r="CX31" s="3">
        <f t="shared" si="19"/>
        <v>1.8318187590894469E-3</v>
      </c>
      <c r="CY31" s="3">
        <f t="shared" si="69"/>
        <v>1</v>
      </c>
    </row>
    <row r="32" spans="1:103" ht="15.5" x14ac:dyDescent="0.35">
      <c r="A32" s="103" t="str">
        <f>'Amphibole P-T calcs'!A32</f>
        <v>AUGUSTINE</v>
      </c>
      <c r="B32" s="103" t="str">
        <f>'Amphibole P-T calcs'!B32</f>
        <v>TAPPEN ET AL. 2009</v>
      </c>
      <c r="D32" s="108">
        <f t="shared" si="0"/>
        <v>4.0429197135706786E-2</v>
      </c>
      <c r="E32" s="108">
        <f t="shared" si="1"/>
        <v>0.28365058867710274</v>
      </c>
      <c r="F32" s="108">
        <f t="shared" si="2"/>
        <v>4.6392649958607014E-2</v>
      </c>
      <c r="G32" s="108">
        <f t="shared" si="3"/>
        <v>9.0787520150624849E-3</v>
      </c>
      <c r="H32" s="108">
        <f t="shared" si="4"/>
        <v>4.9345160185059848E-2</v>
      </c>
      <c r="I32" s="108">
        <f t="shared" si="5"/>
        <v>8.5027977113762435E-2</v>
      </c>
      <c r="J32" s="108">
        <f t="shared" si="6"/>
        <v>0.48607567491469883</v>
      </c>
      <c r="K32" s="108">
        <f t="shared" si="7"/>
        <v>-3.1718640766343572E-3</v>
      </c>
      <c r="L32" s="3">
        <f t="shared" si="20"/>
        <v>1.0000000000000002</v>
      </c>
      <c r="N32" s="108">
        <f t="array" ref="N32:U32">MMULT(CQ32:CX32,$U$3:$AB$10)</f>
        <v>8.1573944970897323E-3</v>
      </c>
      <c r="O32" s="108">
        <v>5.7232146940837586E-2</v>
      </c>
      <c r="P32" s="108">
        <v>9.3606396933248199E-3</v>
      </c>
      <c r="Q32" s="108">
        <v>1.8318187590894469E-3</v>
      </c>
      <c r="R32" s="108">
        <v>9.9563673451261454E-3</v>
      </c>
      <c r="S32" s="108">
        <v>1.7156085248942247E-2</v>
      </c>
      <c r="T32" s="108">
        <v>9.8075433514270394E-2</v>
      </c>
      <c r="U32" s="108">
        <v>-6.3998665314582372E-4</v>
      </c>
      <c r="V32" s="108">
        <f t="shared" si="21"/>
        <v>0.20176988599868034</v>
      </c>
      <c r="X32">
        <f t="shared" si="22"/>
        <v>0.89105911684104888</v>
      </c>
      <c r="Y32">
        <f t="shared" si="23"/>
        <v>9.8431036821097037E-2</v>
      </c>
      <c r="Z32">
        <f t="shared" si="24"/>
        <v>1.0509846337854171E-2</v>
      </c>
      <c r="AA32">
        <f t="shared" si="25"/>
        <v>1</v>
      </c>
      <c r="AB32" s="100">
        <f t="shared" si="26"/>
        <v>0.11972623382285037</v>
      </c>
      <c r="AC32" s="100">
        <f t="shared" si="27"/>
        <v>1.0509846337854171E-2</v>
      </c>
      <c r="AE32">
        <f t="shared" si="28"/>
        <v>0.90011790533614922</v>
      </c>
      <c r="AF32">
        <f t="shared" si="29"/>
        <v>8.4360970965527082E-2</v>
      </c>
      <c r="AG32">
        <f t="shared" si="30"/>
        <v>1.5521123698323603E-2</v>
      </c>
      <c r="AH32">
        <f t="shared" si="31"/>
        <v>0.99999999999999989</v>
      </c>
      <c r="AI32" s="100">
        <f t="shared" si="32"/>
        <v>0.10637278353744314</v>
      </c>
      <c r="AJ32" s="100">
        <f t="shared" si="33"/>
        <v>1.5521123698323603E-2</v>
      </c>
      <c r="AL32">
        <f t="shared" si="34"/>
        <v>0.85139822778203045</v>
      </c>
      <c r="AM32">
        <f t="shared" si="35"/>
        <v>0.12135122635396706</v>
      </c>
      <c r="AN32">
        <f t="shared" si="36"/>
        <v>2.7250545864002638E-2</v>
      </c>
      <c r="AO32">
        <f t="shared" si="37"/>
        <v>1.0000000000000002</v>
      </c>
      <c r="AP32" s="100">
        <f t="shared" si="38"/>
        <v>0.15585743639405433</v>
      </c>
      <c r="AQ32" s="100">
        <f t="shared" si="39"/>
        <v>2.7250545864002638E-2</v>
      </c>
      <c r="AS32">
        <f t="shared" si="40"/>
        <v>0.88937979859701333</v>
      </c>
      <c r="AT32">
        <f t="shared" si="41"/>
        <v>5.3604362522374396E-2</v>
      </c>
      <c r="AU32">
        <f t="shared" si="42"/>
        <v>5.7015838880612318E-2</v>
      </c>
      <c r="AV32">
        <f t="shared" si="43"/>
        <v>1</v>
      </c>
      <c r="AW32" s="100">
        <f t="shared" si="44"/>
        <v>9.4815096189856146E-2</v>
      </c>
      <c r="AX32" s="100">
        <f t="shared" si="45"/>
        <v>5.7015838880612318E-2</v>
      </c>
      <c r="AY32" s="100"/>
      <c r="AZ32" s="100">
        <f t="shared" si="46"/>
        <v>0.85416292456437526</v>
      </c>
      <c r="BA32" s="100">
        <f t="shared" si="47"/>
        <v>5.1481784422974936E-2</v>
      </c>
      <c r="BB32" s="100">
        <f t="shared" si="48"/>
        <v>9.4355291012649875E-2</v>
      </c>
      <c r="BC32" s="100">
        <f t="shared" si="49"/>
        <v>1</v>
      </c>
      <c r="BD32" s="100">
        <f t="shared" si="50"/>
        <v>0.1139220968555526</v>
      </c>
      <c r="BE32" s="100">
        <f t="shared" si="51"/>
        <v>9.4355291012649875E-2</v>
      </c>
      <c r="BF32" s="100"/>
      <c r="BG32" s="100">
        <f t="shared" si="52"/>
        <v>0.68337812383576124</v>
      </c>
      <c r="BH32" s="100">
        <f t="shared" si="53"/>
        <v>0.11177033771141721</v>
      </c>
      <c r="BI32" s="100">
        <f t="shared" si="54"/>
        <v>0.20485153845282167</v>
      </c>
      <c r="BJ32" s="100">
        <f t="shared" si="8"/>
        <v>1</v>
      </c>
      <c r="BK32" s="100">
        <f t="shared" si="55"/>
        <v>0.24733235999984976</v>
      </c>
      <c r="BL32" s="100">
        <f t="shared" si="56"/>
        <v>0.20485153845282167</v>
      </c>
      <c r="BM32" s="100"/>
      <c r="BN32" s="3">
        <f t="shared" si="9"/>
        <v>0.92945251488444824</v>
      </c>
      <c r="BO32" s="92">
        <f t="shared" si="10"/>
        <v>1.0962688025008108E-2</v>
      </c>
      <c r="BP32" s="3">
        <f t="shared" si="11"/>
        <v>5.9584797090543658E-2</v>
      </c>
      <c r="BQ32">
        <f t="shared" si="57"/>
        <v>1</v>
      </c>
      <c r="BR32" s="100">
        <f t="shared" si="58"/>
        <v>4.7059920404395245E-2</v>
      </c>
      <c r="BS32" s="100">
        <f t="shared" si="59"/>
        <v>5.9584797090543658E-2</v>
      </c>
      <c r="BT32" s="100"/>
      <c r="BU32" s="3">
        <f t="shared" si="60"/>
        <v>0.85137349149169661</v>
      </c>
      <c r="BV32" s="92">
        <f t="shared" si="61"/>
        <v>9.4047155688856549E-2</v>
      </c>
      <c r="BW32" s="3">
        <f t="shared" si="62"/>
        <v>5.4579352819446814E-2</v>
      </c>
      <c r="BX32">
        <f t="shared" si="63"/>
        <v>1</v>
      </c>
      <c r="BY32" s="100">
        <f t="shared" si="64"/>
        <v>0.1401077053494631</v>
      </c>
      <c r="BZ32" s="100">
        <f t="shared" si="65"/>
        <v>5.4579352819446814E-2</v>
      </c>
      <c r="CB32" s="103">
        <f>'Amphibole P-T calcs'!EU32</f>
        <v>7.0703929210356531</v>
      </c>
      <c r="CC32" s="103">
        <f>'Amphibole P-T calcs'!EV32</f>
        <v>0.14388747240336466</v>
      </c>
      <c r="CD32" s="103">
        <f>'Amphibole P-T calcs'!EW32</f>
        <v>1.1636693428244311</v>
      </c>
      <c r="CE32" s="103">
        <f>'Amphibole P-T calcs'!EX32</f>
        <v>0</v>
      </c>
      <c r="CF32" s="103">
        <f>'Amphibole P-T calcs'!EY32</f>
        <v>0</v>
      </c>
      <c r="CG32" s="103">
        <f>'Amphibole P-T calcs'!EZ32</f>
        <v>1.5075707105034621</v>
      </c>
      <c r="CH32" s="103">
        <f>'Amphibole P-T calcs'!FA32</f>
        <v>3.6143756046118893E-2</v>
      </c>
      <c r="CI32" s="103">
        <f>'Amphibole P-T calcs'!FB32</f>
        <v>3.3189264711161162</v>
      </c>
      <c r="CJ32" s="103">
        <f>'Amphibole P-T calcs'!FC32</f>
        <v>1.7594927768467674</v>
      </c>
      <c r="CK32" s="103">
        <f>'Amphibole P-T calcs'!FD32</f>
        <v>0.37944508853860487</v>
      </c>
      <c r="CL32" s="103">
        <f>'Amphibole P-T calcs'!FE32</f>
        <v>2.8157880207098179E-2</v>
      </c>
      <c r="CM32">
        <f t="shared" si="66"/>
        <v>4.8626409376656969</v>
      </c>
      <c r="CN32">
        <f t="shared" si="67"/>
        <v>15.371542663475498</v>
      </c>
      <c r="CO32">
        <f t="shared" si="68"/>
        <v>13.240590673929146</v>
      </c>
      <c r="CQ32" s="3">
        <f t="shared" si="12"/>
        <v>0.45996638566639741</v>
      </c>
      <c r="CR32" s="3">
        <f t="shared" si="13"/>
        <v>9.3606396933248199E-3</v>
      </c>
      <c r="CS32" s="3">
        <f t="shared" si="14"/>
        <v>7.5702834016096468E-2</v>
      </c>
      <c r="CT32" s="3">
        <f t="shared" si="15"/>
        <v>9.8075433514270394E-2</v>
      </c>
      <c r="CU32" s="3">
        <f t="shared" si="16"/>
        <v>0.2159136882859686</v>
      </c>
      <c r="CV32" s="3">
        <f t="shared" si="17"/>
        <v>0.11446429388167517</v>
      </c>
      <c r="CW32" s="3">
        <f t="shared" si="18"/>
        <v>2.4684906183177618E-2</v>
      </c>
      <c r="CX32" s="3">
        <f t="shared" si="19"/>
        <v>1.8318187590894469E-3</v>
      </c>
      <c r="CY32" s="3">
        <f t="shared" si="69"/>
        <v>1</v>
      </c>
    </row>
    <row r="33" spans="1:103" ht="15.5" x14ac:dyDescent="0.35">
      <c r="A33" s="103" t="str">
        <f>'Amphibole P-T calcs'!A33</f>
        <v>AUGUSTINE</v>
      </c>
      <c r="B33" s="103" t="str">
        <f>'Amphibole P-T calcs'!B33</f>
        <v>TAPPEN ET AL. 2009</v>
      </c>
      <c r="D33" s="108">
        <f t="shared" si="0"/>
        <v>4.8649488416883283E-2</v>
      </c>
      <c r="E33" s="108">
        <f t="shared" si="1"/>
        <v>0.26180263957436273</v>
      </c>
      <c r="F33" s="108">
        <f t="shared" si="2"/>
        <v>5.2317058834634632E-2</v>
      </c>
      <c r="G33" s="108">
        <f t="shared" si="3"/>
        <v>9.8589321538541698E-3</v>
      </c>
      <c r="H33" s="108">
        <f t="shared" si="4"/>
        <v>5.0944790381700265E-2</v>
      </c>
      <c r="I33" s="108">
        <f t="shared" si="5"/>
        <v>8.2699666763109317E-2</v>
      </c>
      <c r="J33" s="108">
        <f t="shared" si="6"/>
        <v>0.49372742387545548</v>
      </c>
      <c r="K33" s="108">
        <f t="shared" si="7"/>
        <v>-1.627235105408534E-3</v>
      </c>
      <c r="L33" s="3">
        <f t="shared" si="20"/>
        <v>0.99999999999999978</v>
      </c>
      <c r="N33" s="108">
        <f t="array" ref="N33:U33">MMULT(CQ33:CX33,$U$3:$AB$10)</f>
        <v>1.0192461251857099E-2</v>
      </c>
      <c r="O33" s="108">
        <v>5.4849770189352248E-2</v>
      </c>
      <c r="P33" s="108">
        <v>1.0960846914026059E-2</v>
      </c>
      <c r="Q33" s="108">
        <v>2.0655260154385062E-3</v>
      </c>
      <c r="R33" s="108">
        <v>1.0673345575598306E-2</v>
      </c>
      <c r="S33" s="108">
        <v>1.7326248979258788E-2</v>
      </c>
      <c r="T33" s="108">
        <v>0.103439888076673</v>
      </c>
      <c r="U33" s="108">
        <v>-3.4091891403697177E-4</v>
      </c>
      <c r="V33" s="108">
        <f t="shared" si="21"/>
        <v>0.20950808700220402</v>
      </c>
      <c r="X33">
        <f t="shared" si="22"/>
        <v>0.89086211970024698</v>
      </c>
      <c r="Y33">
        <f t="shared" si="23"/>
        <v>9.7512996497697929E-2</v>
      </c>
      <c r="Z33">
        <f t="shared" si="24"/>
        <v>1.162488380205509E-2</v>
      </c>
      <c r="AA33">
        <f t="shared" si="25"/>
        <v>1</v>
      </c>
      <c r="AB33" s="100">
        <f t="shared" si="26"/>
        <v>0.11930993934728049</v>
      </c>
      <c r="AC33" s="100">
        <f t="shared" si="27"/>
        <v>1.162488380205509E-2</v>
      </c>
      <c r="AE33">
        <f t="shared" si="28"/>
        <v>0.89919483646403264</v>
      </c>
      <c r="AF33">
        <f t="shared" si="29"/>
        <v>8.4460255253778913E-2</v>
      </c>
      <c r="AG33">
        <f t="shared" si="30"/>
        <v>1.6344908282188535E-2</v>
      </c>
      <c r="AH33">
        <f t="shared" si="31"/>
        <v>1</v>
      </c>
      <c r="AI33" s="100">
        <f t="shared" si="32"/>
        <v>0.1069630394097888</v>
      </c>
      <c r="AJ33" s="100">
        <f t="shared" si="33"/>
        <v>1.6344908282188535E-2</v>
      </c>
      <c r="AL33">
        <f t="shared" si="34"/>
        <v>0.81733874395647377</v>
      </c>
      <c r="AM33">
        <f t="shared" si="35"/>
        <v>0.15188201242518809</v>
      </c>
      <c r="AN33">
        <f t="shared" si="36"/>
        <v>3.0779243618338045E-2</v>
      </c>
      <c r="AO33">
        <f t="shared" si="37"/>
        <v>0.99999999999999989</v>
      </c>
      <c r="AP33" s="100">
        <f t="shared" si="38"/>
        <v>0.19314864610598939</v>
      </c>
      <c r="AQ33" s="100">
        <f t="shared" si="39"/>
        <v>3.0779243618338045E-2</v>
      </c>
      <c r="AS33">
        <f t="shared" si="40"/>
        <v>0.87975917367950718</v>
      </c>
      <c r="AT33">
        <f t="shared" si="41"/>
        <v>6.0919365987290544E-2</v>
      </c>
      <c r="AU33">
        <f t="shared" si="42"/>
        <v>5.9321460333202451E-2</v>
      </c>
      <c r="AV33">
        <f t="shared" si="43"/>
        <v>1.0000000000000002</v>
      </c>
      <c r="AW33" s="100">
        <f t="shared" si="44"/>
        <v>0.10459288579534319</v>
      </c>
      <c r="AX33" s="100">
        <f t="shared" si="45"/>
        <v>5.9321460333202451E-2</v>
      </c>
      <c r="AY33" s="100"/>
      <c r="AZ33" s="100">
        <f t="shared" si="46"/>
        <v>0.84838895916727308</v>
      </c>
      <c r="BA33" s="100">
        <f t="shared" si="47"/>
        <v>5.874711972246581E-2</v>
      </c>
      <c r="BB33" s="100">
        <f t="shared" si="48"/>
        <v>9.2863921110261302E-2</v>
      </c>
      <c r="BC33" s="100">
        <f t="shared" si="49"/>
        <v>1.0000000000000002</v>
      </c>
      <c r="BD33" s="100">
        <f t="shared" si="50"/>
        <v>0.12145034062277514</v>
      </c>
      <c r="BE33" s="100">
        <f t="shared" si="51"/>
        <v>9.2863921110261302E-2</v>
      </c>
      <c r="BF33" s="100"/>
      <c r="BG33" s="100">
        <f t="shared" si="52"/>
        <v>0.65975267981393726</v>
      </c>
      <c r="BH33" s="100">
        <f t="shared" si="53"/>
        <v>0.13184099221554854</v>
      </c>
      <c r="BI33" s="100">
        <f t="shared" si="54"/>
        <v>0.20840632797051423</v>
      </c>
      <c r="BJ33" s="100">
        <f t="shared" si="8"/>
        <v>1</v>
      </c>
      <c r="BK33" s="100">
        <f t="shared" si="55"/>
        <v>0.27256031424634641</v>
      </c>
      <c r="BL33" s="100">
        <f t="shared" si="56"/>
        <v>0.20840632797051423</v>
      </c>
      <c r="BM33" s="100"/>
      <c r="BN33" s="3">
        <f t="shared" si="9"/>
        <v>0.92551610189432498</v>
      </c>
      <c r="BO33" s="92">
        <f t="shared" si="10"/>
        <v>1.2077084549371848E-2</v>
      </c>
      <c r="BP33" s="3">
        <f t="shared" si="11"/>
        <v>6.2406813556303189E-2</v>
      </c>
      <c r="BQ33">
        <f t="shared" si="57"/>
        <v>1</v>
      </c>
      <c r="BR33" s="100">
        <f t="shared" si="58"/>
        <v>4.9976006637209844E-2</v>
      </c>
      <c r="BS33" s="100">
        <f t="shared" si="59"/>
        <v>6.2406813556303189E-2</v>
      </c>
      <c r="BT33" s="100"/>
      <c r="BU33" s="3">
        <f t="shared" si="60"/>
        <v>0.84969828301486205</v>
      </c>
      <c r="BV33" s="92">
        <f t="shared" si="61"/>
        <v>9.3007238565275832E-2</v>
      </c>
      <c r="BW33" s="3">
        <f t="shared" si="62"/>
        <v>5.7294478419862245E-2</v>
      </c>
      <c r="BX33">
        <f t="shared" si="63"/>
        <v>1.0000000000000002</v>
      </c>
      <c r="BY33" s="100">
        <f t="shared" si="64"/>
        <v>0.14047449098327816</v>
      </c>
      <c r="BZ33" s="100">
        <f t="shared" si="65"/>
        <v>5.7294478419862245E-2</v>
      </c>
      <c r="CB33" s="103">
        <f>'Amphibole P-T calcs'!EU33</f>
        <v>7.007069109430887</v>
      </c>
      <c r="CC33" s="103">
        <f>'Amphibole P-T calcs'!EV33</f>
        <v>0.16849406630935668</v>
      </c>
      <c r="CD33" s="103">
        <f>'Amphibole P-T calcs'!EW33</f>
        <v>1.2596314112227383</v>
      </c>
      <c r="CE33" s="103">
        <f>'Amphibole P-T calcs'!EX33</f>
        <v>0</v>
      </c>
      <c r="CF33" s="103">
        <f>'Amphibole P-T calcs'!EY33</f>
        <v>0</v>
      </c>
      <c r="CG33" s="103">
        <f>'Amphibole P-T calcs'!EZ33</f>
        <v>1.5901150246264568</v>
      </c>
      <c r="CH33" s="103">
        <f>'Amphibole P-T calcs'!FA33</f>
        <v>3.9682480538094853E-2</v>
      </c>
      <c r="CI33" s="103">
        <f>'Amphibole P-T calcs'!FB33</f>
        <v>3.2258686966923049</v>
      </c>
      <c r="CJ33" s="103">
        <f>'Amphibole P-T calcs'!FC33</f>
        <v>1.6863406428040402</v>
      </c>
      <c r="CK33" s="103">
        <f>'Amphibole P-T calcs'!FD33</f>
        <v>0.40308736800981532</v>
      </c>
      <c r="CL33" s="103">
        <f>'Amphibole P-T calcs'!FE33</f>
        <v>3.175200603920865E-2</v>
      </c>
      <c r="CM33">
        <f t="shared" si="66"/>
        <v>4.8556662018568559</v>
      </c>
      <c r="CN33">
        <f t="shared" si="67"/>
        <v>15.372358325134808</v>
      </c>
      <c r="CO33">
        <f t="shared" si="68"/>
        <v>13.290860788819838</v>
      </c>
      <c r="CQ33" s="3">
        <f t="shared" si="12"/>
        <v>0.4558226500597421</v>
      </c>
      <c r="CR33" s="3">
        <f t="shared" si="13"/>
        <v>1.0960846914026059E-2</v>
      </c>
      <c r="CS33" s="3">
        <f t="shared" si="14"/>
        <v>8.194132510970413E-2</v>
      </c>
      <c r="CT33" s="3">
        <f t="shared" si="15"/>
        <v>0.103439888076673</v>
      </c>
      <c r="CU33" s="3">
        <f t="shared" si="16"/>
        <v>0.20984865356786533</v>
      </c>
      <c r="CV33" s="3">
        <f t="shared" si="17"/>
        <v>0.1096995403787045</v>
      </c>
      <c r="CW33" s="3">
        <f t="shared" si="18"/>
        <v>2.6221569877846341E-2</v>
      </c>
      <c r="CX33" s="3">
        <f t="shared" si="19"/>
        <v>2.0655260154385062E-3</v>
      </c>
      <c r="CY33" s="3">
        <f t="shared" si="69"/>
        <v>1</v>
      </c>
    </row>
    <row r="34" spans="1:103" ht="15.5" x14ac:dyDescent="0.35">
      <c r="A34" s="103" t="str">
        <f>'Amphibole P-T calcs'!A34</f>
        <v>AUGUSTINE</v>
      </c>
      <c r="B34" s="103" t="str">
        <f>'Amphibole P-T calcs'!B34</f>
        <v>TAPPEN ET AL. 2009</v>
      </c>
      <c r="D34" s="108">
        <f t="shared" si="0"/>
        <v>4.8416747684621432E-2</v>
      </c>
      <c r="E34" s="108">
        <f t="shared" si="1"/>
        <v>0.26245005992696024</v>
      </c>
      <c r="F34" s="108">
        <f t="shared" si="2"/>
        <v>5.6038592094683343E-2</v>
      </c>
      <c r="G34" s="108">
        <f t="shared" si="3"/>
        <v>9.7922221922332742E-3</v>
      </c>
      <c r="H34" s="108">
        <f t="shared" si="4"/>
        <v>5.3155955115343934E-2</v>
      </c>
      <c r="I34" s="108">
        <f t="shared" si="5"/>
        <v>7.2811975646710103E-2</v>
      </c>
      <c r="J34" s="108">
        <f t="shared" si="6"/>
        <v>0.49733444733944765</v>
      </c>
      <c r="K34" s="108">
        <f t="shared" si="7"/>
        <v>-4.672892795604692E-3</v>
      </c>
      <c r="L34" s="3">
        <f t="shared" si="20"/>
        <v>1</v>
      </c>
      <c r="N34" s="108">
        <f t="array" ref="N34:U34">MMULT(CQ34:CX34,$U$3:$AB$10)</f>
        <v>1.0218568706094871E-2</v>
      </c>
      <c r="O34" s="108">
        <v>5.539124574726851E-2</v>
      </c>
      <c r="P34" s="108">
        <v>1.1827192673956329E-2</v>
      </c>
      <c r="Q34" s="108">
        <v>2.0666917965757002E-3</v>
      </c>
      <c r="R34" s="108">
        <v>1.1218799391946067E-2</v>
      </c>
      <c r="S34" s="108">
        <v>1.5367289447422768E-2</v>
      </c>
      <c r="T34" s="108">
        <v>0.10496463441017276</v>
      </c>
      <c r="U34" s="108">
        <v>-9.8623468885476501E-4</v>
      </c>
      <c r="V34" s="108">
        <f t="shared" si="21"/>
        <v>0.21105442217343701</v>
      </c>
      <c r="X34">
        <f t="shared" si="22"/>
        <v>0.90194052064288688</v>
      </c>
      <c r="Y34">
        <f t="shared" si="23"/>
        <v>8.6435128112982068E-2</v>
      </c>
      <c r="Z34">
        <f t="shared" si="24"/>
        <v>1.1624351244130979E-2</v>
      </c>
      <c r="AA34">
        <f t="shared" si="25"/>
        <v>0.99999999999999989</v>
      </c>
      <c r="AB34" s="100">
        <f t="shared" si="26"/>
        <v>0.10651801128689374</v>
      </c>
      <c r="AC34" s="100">
        <f t="shared" si="27"/>
        <v>1.1624351244130979E-2</v>
      </c>
      <c r="AE34">
        <f t="shared" si="28"/>
        <v>0.89658576931589096</v>
      </c>
      <c r="AF34">
        <f t="shared" si="29"/>
        <v>8.7327106830631357E-2</v>
      </c>
      <c r="AG34">
        <f t="shared" si="30"/>
        <v>1.6087123853477603E-2</v>
      </c>
      <c r="AH34">
        <f t="shared" si="31"/>
        <v>1</v>
      </c>
      <c r="AI34" s="100">
        <f t="shared" si="32"/>
        <v>0.11012456255972458</v>
      </c>
      <c r="AJ34" s="100">
        <f t="shared" si="33"/>
        <v>1.6087123853477603E-2</v>
      </c>
      <c r="AL34">
        <f t="shared" si="34"/>
        <v>0.81847082269141769</v>
      </c>
      <c r="AM34">
        <f t="shared" si="35"/>
        <v>0.15099137458952483</v>
      </c>
      <c r="AN34">
        <f t="shared" si="36"/>
        <v>3.053780271905748E-2</v>
      </c>
      <c r="AO34">
        <f t="shared" si="37"/>
        <v>1</v>
      </c>
      <c r="AP34" s="100">
        <f t="shared" si="38"/>
        <v>0.19198083014945508</v>
      </c>
      <c r="AQ34" s="100">
        <f t="shared" si="39"/>
        <v>3.053780271905748E-2</v>
      </c>
      <c r="AS34">
        <f t="shared" si="40"/>
        <v>0.8743415659473891</v>
      </c>
      <c r="AT34">
        <f t="shared" si="41"/>
        <v>6.4487851353847547E-2</v>
      </c>
      <c r="AU34">
        <f t="shared" si="42"/>
        <v>6.1170582698763319E-2</v>
      </c>
      <c r="AV34">
        <f t="shared" si="43"/>
        <v>0.99999999999999989</v>
      </c>
      <c r="AW34" s="100">
        <f t="shared" si="44"/>
        <v>0.10978100906482617</v>
      </c>
      <c r="AX34" s="100">
        <f t="shared" si="45"/>
        <v>6.1170582698763319E-2</v>
      </c>
      <c r="AY34" s="100"/>
      <c r="AZ34" s="100">
        <f t="shared" si="46"/>
        <v>0.85500170838939438</v>
      </c>
      <c r="BA34" s="100">
        <f t="shared" si="47"/>
        <v>6.30614227040176E-2</v>
      </c>
      <c r="BB34" s="100">
        <f t="shared" si="48"/>
        <v>8.193686890658787E-2</v>
      </c>
      <c r="BC34" s="100">
        <f t="shared" si="49"/>
        <v>0.99999999999999989</v>
      </c>
      <c r="BD34" s="100">
        <f t="shared" si="50"/>
        <v>0.12012333206706426</v>
      </c>
      <c r="BE34" s="100">
        <f t="shared" si="51"/>
        <v>8.193686890658787E-2</v>
      </c>
      <c r="BF34" s="100"/>
      <c r="BG34" s="100">
        <f t="shared" si="52"/>
        <v>0.67071208520881653</v>
      </c>
      <c r="BH34" s="100">
        <f t="shared" si="53"/>
        <v>0.14321109687096842</v>
      </c>
      <c r="BI34" s="100">
        <f t="shared" si="54"/>
        <v>0.18607681792021502</v>
      </c>
      <c r="BJ34" s="100">
        <f t="shared" si="8"/>
        <v>1</v>
      </c>
      <c r="BK34" s="100">
        <f t="shared" si="55"/>
        <v>0.27279743157497549</v>
      </c>
      <c r="BL34" s="100">
        <f t="shared" si="56"/>
        <v>0.18607681792021502</v>
      </c>
      <c r="BM34" s="100"/>
      <c r="BN34" s="3">
        <f t="shared" si="9"/>
        <v>0.92348890655757521</v>
      </c>
      <c r="BO34" s="92">
        <f t="shared" si="10"/>
        <v>1.190207022989944E-2</v>
      </c>
      <c r="BP34" s="3">
        <f t="shared" si="11"/>
        <v>6.4609023212525402E-2</v>
      </c>
      <c r="BQ34">
        <f t="shared" si="57"/>
        <v>1</v>
      </c>
      <c r="BR34" s="100">
        <f t="shared" si="58"/>
        <v>5.1045363846122863E-2</v>
      </c>
      <c r="BS34" s="100">
        <f t="shared" si="59"/>
        <v>6.4609023212525402E-2</v>
      </c>
      <c r="BT34" s="100"/>
      <c r="BU34" s="3">
        <f t="shared" si="60"/>
        <v>0.85778426865813906</v>
      </c>
      <c r="BV34" s="92">
        <f t="shared" si="61"/>
        <v>8.2203528345659985E-2</v>
      </c>
      <c r="BW34" s="3">
        <f t="shared" si="62"/>
        <v>6.0012202996200928E-2</v>
      </c>
      <c r="BX34">
        <f t="shared" si="63"/>
        <v>1</v>
      </c>
      <c r="BY34" s="100">
        <f t="shared" si="64"/>
        <v>0.1295685199919267</v>
      </c>
      <c r="BZ34" s="100">
        <f t="shared" si="65"/>
        <v>6.0012202996200928E-2</v>
      </c>
      <c r="CB34" s="103">
        <f>'Amphibole P-T calcs'!EU34</f>
        <v>6.9542871079555146</v>
      </c>
      <c r="CC34" s="103">
        <f>'Amphibole P-T calcs'!EV34</f>
        <v>0.18193713619812268</v>
      </c>
      <c r="CD34" s="103">
        <f>'Amphibole P-T calcs'!EW34</f>
        <v>1.2905815534177356</v>
      </c>
      <c r="CE34" s="103">
        <f>'Amphibole P-T calcs'!EX34</f>
        <v>0</v>
      </c>
      <c r="CF34" s="103">
        <f>'Amphibole P-T calcs'!EY34</f>
        <v>0</v>
      </c>
      <c r="CG34" s="103">
        <f>'Amphibole P-T calcs'!EZ34</f>
        <v>1.6146659239534995</v>
      </c>
      <c r="CH34" s="103">
        <f>'Amphibole P-T calcs'!FA34</f>
        <v>4.4698769116042925E-2</v>
      </c>
      <c r="CI34" s="103">
        <f>'Amphibole P-T calcs'!FB34</f>
        <v>3.2189870433441587</v>
      </c>
      <c r="CJ34" s="103">
        <f>'Amphibole P-T calcs'!FC34</f>
        <v>1.704161739733181</v>
      </c>
      <c r="CK34" s="103">
        <f>'Amphibole P-T calcs'!FD34</f>
        <v>0.38653959030772667</v>
      </c>
      <c r="CL34" s="103">
        <f>'Amphibole P-T calcs'!FE34</f>
        <v>3.1791820530759747E-2</v>
      </c>
      <c r="CM34">
        <f t="shared" si="66"/>
        <v>4.878351736413701</v>
      </c>
      <c r="CN34">
        <f t="shared" si="67"/>
        <v>15.382951915440698</v>
      </c>
      <c r="CO34">
        <f t="shared" si="68"/>
        <v>13.305157533985073</v>
      </c>
      <c r="CQ34" s="3">
        <f t="shared" si="12"/>
        <v>0.45207754312584975</v>
      </c>
      <c r="CR34" s="3">
        <f t="shared" si="13"/>
        <v>1.1827192673956329E-2</v>
      </c>
      <c r="CS34" s="3">
        <f t="shared" si="14"/>
        <v>8.3896872363119684E-2</v>
      </c>
      <c r="CT34" s="3">
        <f t="shared" si="15"/>
        <v>0.10496463441017276</v>
      </c>
      <c r="CU34" s="3">
        <f t="shared" si="16"/>
        <v>0.20925678381098545</v>
      </c>
      <c r="CV34" s="3">
        <f t="shared" si="17"/>
        <v>0.11078249149453702</v>
      </c>
      <c r="CW34" s="3">
        <f t="shared" si="18"/>
        <v>2.5127790324803397E-2</v>
      </c>
      <c r="CX34" s="3">
        <f t="shared" si="19"/>
        <v>2.0666917965757002E-3</v>
      </c>
      <c r="CY34" s="3">
        <f t="shared" si="69"/>
        <v>1</v>
      </c>
    </row>
    <row r="35" spans="1:103" ht="15.5" x14ac:dyDescent="0.35">
      <c r="A35" s="103" t="str">
        <f>'Amphibole P-T calcs'!A35</f>
        <v>AUGUSTINE</v>
      </c>
      <c r="B35" s="103" t="str">
        <f>'Amphibole P-T calcs'!B35</f>
        <v>TAPPEN ET AL. 2009</v>
      </c>
      <c r="D35" s="108">
        <f t="shared" si="0"/>
        <v>3.0710657848994759E-2</v>
      </c>
      <c r="E35" s="108">
        <f t="shared" si="1"/>
        <v>0.30308135804695774</v>
      </c>
      <c r="F35" s="108">
        <f t="shared" si="2"/>
        <v>7.5403599142261454E-2</v>
      </c>
      <c r="G35" s="108">
        <f t="shared" si="3"/>
        <v>1.3295022230712364E-2</v>
      </c>
      <c r="H35" s="108">
        <f t="shared" si="4"/>
        <v>0.13065174046967554</v>
      </c>
      <c r="I35" s="108">
        <f t="shared" si="5"/>
        <v>0.16881571027912509</v>
      </c>
      <c r="J35" s="108">
        <f t="shared" si="6"/>
        <v>0.27804191198227302</v>
      </c>
      <c r="K35" s="108">
        <f t="shared" si="7"/>
        <v>-4.6300662444607177E-3</v>
      </c>
      <c r="L35" s="3">
        <f t="shared" si="20"/>
        <v>1</v>
      </c>
      <c r="N35" s="108">
        <f t="array" ref="N35:U35">MMULT(CQ35:CX35,$U$3:$AB$10)</f>
        <v>5.9083343074058207E-3</v>
      </c>
      <c r="O35" s="108">
        <v>5.8308942598655607E-2</v>
      </c>
      <c r="P35" s="108">
        <v>1.4506679534664614E-2</v>
      </c>
      <c r="Q35" s="108">
        <v>2.5577907301654276E-3</v>
      </c>
      <c r="R35" s="108">
        <v>2.5135709053674113E-2</v>
      </c>
      <c r="S35" s="108">
        <v>3.2477964411429382E-2</v>
      </c>
      <c r="T35" s="108">
        <v>5.3491676262328758E-2</v>
      </c>
      <c r="U35" s="108">
        <v>-8.9076500321872201E-4</v>
      </c>
      <c r="V35" s="108">
        <f t="shared" si="21"/>
        <v>0.19238709689832373</v>
      </c>
      <c r="X35">
        <f t="shared" si="22"/>
        <v>0.76139593898593938</v>
      </c>
      <c r="Y35">
        <f t="shared" si="23"/>
        <v>0.22118473458666929</v>
      </c>
      <c r="Z35">
        <f t="shared" si="24"/>
        <v>1.7419326427391212E-2</v>
      </c>
      <c r="AA35">
        <f t="shared" si="25"/>
        <v>0.99999999999999989</v>
      </c>
      <c r="AB35" s="100">
        <f t="shared" si="26"/>
        <v>0.26545918491045517</v>
      </c>
      <c r="AC35" s="100">
        <f t="shared" si="27"/>
        <v>1.7419326427391212E-2</v>
      </c>
      <c r="AE35">
        <f t="shared" si="28"/>
        <v>0.68202567939434233</v>
      </c>
      <c r="AF35">
        <f t="shared" si="29"/>
        <v>0.28860599316333102</v>
      </c>
      <c r="AG35">
        <f t="shared" si="30"/>
        <v>2.9368327442326609E-2</v>
      </c>
      <c r="AH35">
        <f t="shared" si="31"/>
        <v>1</v>
      </c>
      <c r="AI35" s="100">
        <f t="shared" si="32"/>
        <v>0.35020930743965323</v>
      </c>
      <c r="AJ35" s="100">
        <f t="shared" si="33"/>
        <v>2.9368327442326609E-2</v>
      </c>
      <c r="AL35">
        <f t="shared" si="34"/>
        <v>0.87321427986127265</v>
      </c>
      <c r="AM35">
        <f t="shared" si="35"/>
        <v>8.8481142985775529E-2</v>
      </c>
      <c r="AN35">
        <f t="shared" si="36"/>
        <v>3.8304577152951817E-2</v>
      </c>
      <c r="AO35">
        <f t="shared" si="37"/>
        <v>1</v>
      </c>
      <c r="AP35" s="100">
        <f t="shared" si="38"/>
        <v>0.12428438137253806</v>
      </c>
      <c r="AQ35" s="100">
        <f t="shared" si="39"/>
        <v>3.8304577152951817E-2</v>
      </c>
      <c r="AS35">
        <f t="shared" si="40"/>
        <v>0.73823559597755517</v>
      </c>
      <c r="AT35">
        <f t="shared" si="41"/>
        <v>9.5789695272123665E-2</v>
      </c>
      <c r="AU35">
        <f t="shared" si="42"/>
        <v>0.16597470875032111</v>
      </c>
      <c r="AV35">
        <f t="shared" si="43"/>
        <v>1</v>
      </c>
      <c r="AW35" s="100">
        <f t="shared" si="44"/>
        <v>0.20643395547757326</v>
      </c>
      <c r="AX35" s="100">
        <f t="shared" si="45"/>
        <v>0.16597470875032111</v>
      </c>
      <c r="AY35" s="100"/>
      <c r="AZ35" s="100">
        <f t="shared" si="46"/>
        <v>0.70409946669182</v>
      </c>
      <c r="BA35" s="100">
        <f t="shared" si="47"/>
        <v>9.1360364798400762E-2</v>
      </c>
      <c r="BB35" s="100">
        <f t="shared" si="48"/>
        <v>0.20454016850977919</v>
      </c>
      <c r="BC35" s="100">
        <f t="shared" si="49"/>
        <v>1</v>
      </c>
      <c r="BD35" s="100">
        <f t="shared" si="50"/>
        <v>0.2235851837684506</v>
      </c>
      <c r="BE35" s="100">
        <f t="shared" si="51"/>
        <v>0.20454016850977919</v>
      </c>
      <c r="BF35" s="100"/>
      <c r="BG35" s="100">
        <f t="shared" si="52"/>
        <v>0.55377487377993717</v>
      </c>
      <c r="BH35" s="100">
        <f t="shared" si="53"/>
        <v>0.13777362905668808</v>
      </c>
      <c r="BI35" s="100">
        <f t="shared" si="54"/>
        <v>0.30845149716337472</v>
      </c>
      <c r="BJ35" s="100">
        <f t="shared" si="8"/>
        <v>1</v>
      </c>
      <c r="BK35" s="100">
        <f t="shared" si="55"/>
        <v>0.33717183856543853</v>
      </c>
      <c r="BL35" s="100">
        <f t="shared" si="56"/>
        <v>0.30845149716337472</v>
      </c>
      <c r="BM35" s="100"/>
      <c r="BN35" s="3">
        <f t="shared" si="9"/>
        <v>0.80147191829390318</v>
      </c>
      <c r="BO35" s="92">
        <f t="shared" si="10"/>
        <v>1.8336190478954916E-2</v>
      </c>
      <c r="BP35" s="3">
        <f t="shared" si="11"/>
        <v>0.18019189122714172</v>
      </c>
      <c r="BQ35">
        <f t="shared" si="57"/>
        <v>0.99999999999999989</v>
      </c>
      <c r="BR35" s="100">
        <f t="shared" si="58"/>
        <v>0.12520664592365177</v>
      </c>
      <c r="BS35" s="100">
        <f t="shared" si="59"/>
        <v>0.18019189122714172</v>
      </c>
      <c r="BT35" s="100"/>
      <c r="BU35" s="3">
        <f t="shared" si="60"/>
        <v>0.65992436249588105</v>
      </c>
      <c r="BV35" s="92">
        <f t="shared" si="61"/>
        <v>0.19170734632539707</v>
      </c>
      <c r="BW35" s="3">
        <f t="shared" si="62"/>
        <v>0.14836829117872191</v>
      </c>
      <c r="BX35">
        <f t="shared" si="63"/>
        <v>1</v>
      </c>
      <c r="BY35" s="100">
        <f t="shared" si="64"/>
        <v>0.30702504886443349</v>
      </c>
      <c r="BZ35" s="100">
        <f t="shared" si="65"/>
        <v>0.14836829117872191</v>
      </c>
      <c r="CB35" s="103">
        <f>'Amphibole P-T calcs'!EU35</f>
        <v>6.1498143908785199</v>
      </c>
      <c r="CC35" s="103">
        <f>'Amphibole P-T calcs'!EV35</f>
        <v>0.22774105849445558</v>
      </c>
      <c r="CD35" s="103">
        <f>'Amphibole P-T calcs'!EW35</f>
        <v>2.5437820524761277</v>
      </c>
      <c r="CE35" s="103">
        <f>'Amphibole P-T calcs'!EX35</f>
        <v>0</v>
      </c>
      <c r="CF35" s="103">
        <f>'Amphibole P-T calcs'!EY35</f>
        <v>0</v>
      </c>
      <c r="CG35" s="103">
        <f>'Amphibole P-T calcs'!EZ35</f>
        <v>0.83976839382956292</v>
      </c>
      <c r="CH35" s="103">
        <f>'Amphibole P-T calcs'!FA35</f>
        <v>2.0312603962997038E-2</v>
      </c>
      <c r="CI35" s="103">
        <f>'Amphibole P-T calcs'!FB35</f>
        <v>3.36953815555289</v>
      </c>
      <c r="CJ35" s="103">
        <f>'Amphibole P-T calcs'!FC35</f>
        <v>1.8307897786503753</v>
      </c>
      <c r="CK35" s="103">
        <f>'Amphibole P-T calcs'!FD35</f>
        <v>0.69745930161317915</v>
      </c>
      <c r="CL35" s="103">
        <f>'Amphibole P-T calcs'!FE35</f>
        <v>4.0154879474881035E-2</v>
      </c>
      <c r="CM35">
        <f t="shared" si="66"/>
        <v>4.2296191533454497</v>
      </c>
      <c r="CN35">
        <f t="shared" si="67"/>
        <v>15.699048010969991</v>
      </c>
      <c r="CO35">
        <f t="shared" si="68"/>
        <v>13.150956655194552</v>
      </c>
      <c r="CQ35" s="3">
        <f t="shared" si="12"/>
        <v>0.39173167612336923</v>
      </c>
      <c r="CR35" s="3">
        <f t="shared" si="13"/>
        <v>1.4506679534664614E-2</v>
      </c>
      <c r="CS35" s="3">
        <f t="shared" si="14"/>
        <v>0.16203415969545507</v>
      </c>
      <c r="CT35" s="3">
        <f t="shared" si="15"/>
        <v>5.3491676262328758E-2</v>
      </c>
      <c r="CU35" s="3">
        <f t="shared" si="16"/>
        <v>0.21463327924077721</v>
      </c>
      <c r="CV35" s="3">
        <f t="shared" si="17"/>
        <v>0.11661788519731121</v>
      </c>
      <c r="CW35" s="3">
        <f t="shared" si="18"/>
        <v>4.4426853215928569E-2</v>
      </c>
      <c r="CX35" s="3">
        <f t="shared" si="19"/>
        <v>2.5577907301654276E-3</v>
      </c>
      <c r="CY35" s="3">
        <f t="shared" si="69"/>
        <v>1</v>
      </c>
    </row>
    <row r="36" spans="1:103" ht="15.5" x14ac:dyDescent="0.35">
      <c r="A36" s="103" t="str">
        <f>'Amphibole P-T calcs'!A36</f>
        <v>AUGUSTINE</v>
      </c>
      <c r="B36" s="103" t="str">
        <f>'Amphibole P-T calcs'!B36</f>
        <v>TAPPEN ET AL. 2009</v>
      </c>
      <c r="D36" s="108">
        <f t="shared" si="0"/>
        <v>0.33736297971050933</v>
      </c>
      <c r="E36" s="108">
        <f t="shared" si="1"/>
        <v>3.7643399066431361E-2</v>
      </c>
      <c r="F36" s="108">
        <f t="shared" si="2"/>
        <v>8.9816697487879339E-3</v>
      </c>
      <c r="G36" s="108">
        <f t="shared" si="3"/>
        <v>5.8588556882170531E-4</v>
      </c>
      <c r="H36" s="108">
        <f t="shared" si="4"/>
        <v>3.9874925737265331E-2</v>
      </c>
      <c r="I36" s="108">
        <f t="shared" si="5"/>
        <v>-7.5053508705540039E-3</v>
      </c>
      <c r="J36" s="108">
        <f t="shared" si="6"/>
        <v>0.58305649103873836</v>
      </c>
      <c r="K36" s="108">
        <f t="shared" si="7"/>
        <v>-4.5486342409826887E-2</v>
      </c>
      <c r="L36" s="3">
        <f t="shared" si="20"/>
        <v>1</v>
      </c>
      <c r="N36" s="108">
        <f t="array" ref="N36:U36">MMULT(CQ36:CX36,$U$3:$AB$10)</f>
        <v>6.6104509405812792E-2</v>
      </c>
      <c r="O36" s="108">
        <v>7.3760269422239724E-3</v>
      </c>
      <c r="P36" s="108">
        <v>1.7599111582964262E-3</v>
      </c>
      <c r="Q36" s="108">
        <v>1.1480120945142906E-4</v>
      </c>
      <c r="R36" s="108">
        <v>7.813282908862778E-3</v>
      </c>
      <c r="S36" s="108">
        <v>-1.4706342042692332E-3</v>
      </c>
      <c r="T36" s="108">
        <v>0.114246866473209</v>
      </c>
      <c r="U36" s="108">
        <v>-8.91281062387639E-3</v>
      </c>
      <c r="V36" s="108">
        <f t="shared" si="21"/>
        <v>0.19594476389358717</v>
      </c>
      <c r="X36">
        <f t="shared" si="22"/>
        <v>1.011273519034023</v>
      </c>
      <c r="Y36">
        <f t="shared" si="23"/>
        <v>-1.2228071419771306E-2</v>
      </c>
      <c r="Z36">
        <f t="shared" si="24"/>
        <v>9.5455238574826591E-4</v>
      </c>
      <c r="AA36">
        <f t="shared" si="25"/>
        <v>0.99999999999999989</v>
      </c>
      <c r="AB36" s="100">
        <f t="shared" si="26"/>
        <v>-1.3568649574882503E-2</v>
      </c>
      <c r="AC36" s="100">
        <f t="shared" si="27"/>
        <v>9.5455238574826591E-4</v>
      </c>
      <c r="AE36">
        <f t="shared" si="28"/>
        <v>0.95789193298925757</v>
      </c>
      <c r="AF36">
        <f t="shared" si="29"/>
        <v>4.149832864919694E-2</v>
      </c>
      <c r="AG36">
        <f t="shared" si="30"/>
        <v>6.0973836154540383E-4</v>
      </c>
      <c r="AH36">
        <f t="shared" si="31"/>
        <v>0.99999999999999989</v>
      </c>
      <c r="AI36" s="100">
        <f t="shared" si="32"/>
        <v>4.8270175040240303E-2</v>
      </c>
      <c r="AJ36" s="100">
        <f t="shared" si="33"/>
        <v>6.0973836154540383E-4</v>
      </c>
      <c r="AL36">
        <f t="shared" si="34"/>
        <v>0.10022410640432582</v>
      </c>
      <c r="AM36">
        <f t="shared" si="35"/>
        <v>0.89821599573717537</v>
      </c>
      <c r="AN36">
        <f t="shared" si="36"/>
        <v>1.5598978584988941E-3</v>
      </c>
      <c r="AO36">
        <f t="shared" si="37"/>
        <v>1</v>
      </c>
      <c r="AP36" s="100">
        <f t="shared" si="38"/>
        <v>1.0380711013070845</v>
      </c>
      <c r="AQ36" s="100">
        <f t="shared" si="39"/>
        <v>1.5598978584988941E-3</v>
      </c>
      <c r="AS36">
        <f t="shared" si="40"/>
        <v>0.92703140580751364</v>
      </c>
      <c r="AT36">
        <f t="shared" si="41"/>
        <v>1.3414357028977262E-2</v>
      </c>
      <c r="AU36">
        <f t="shared" si="42"/>
        <v>5.955423716350907E-2</v>
      </c>
      <c r="AV36">
        <f t="shared" si="43"/>
        <v>1</v>
      </c>
      <c r="AW36" s="100">
        <f t="shared" si="44"/>
        <v>4.987322014110631E-2</v>
      </c>
      <c r="AX36" s="100">
        <f t="shared" si="45"/>
        <v>5.955423716350907E-2</v>
      </c>
      <c r="AY36" s="100"/>
      <c r="AZ36" s="100">
        <f t="shared" si="46"/>
        <v>0.99762716918950312</v>
      </c>
      <c r="BA36" s="100">
        <f t="shared" si="47"/>
        <v>1.4435893914142767E-2</v>
      </c>
      <c r="BB36" s="100">
        <f t="shared" si="48"/>
        <v>-1.2063063103645943E-2</v>
      </c>
      <c r="BC36" s="100">
        <f t="shared" si="49"/>
        <v>0.99999999999999989</v>
      </c>
      <c r="BD36" s="100">
        <f t="shared" si="50"/>
        <v>9.7045217445049826E-3</v>
      </c>
      <c r="BE36" s="100">
        <f t="shared" si="51"/>
        <v>-1.2063063103645943E-2</v>
      </c>
      <c r="BF36" s="100"/>
      <c r="BG36" s="100">
        <f t="shared" si="52"/>
        <v>0.96226151527160353</v>
      </c>
      <c r="BH36" s="100">
        <f t="shared" si="53"/>
        <v>0.22959444036617227</v>
      </c>
      <c r="BI36" s="100">
        <f t="shared" si="54"/>
        <v>-0.19185595563777574</v>
      </c>
      <c r="BJ36" s="100">
        <f t="shared" si="8"/>
        <v>1.0000000000000002</v>
      </c>
      <c r="BK36" s="100">
        <f t="shared" si="55"/>
        <v>0.15434473626659936</v>
      </c>
      <c r="BL36" s="100">
        <f t="shared" si="56"/>
        <v>-0.19185595563777574</v>
      </c>
      <c r="BM36" s="100"/>
      <c r="BN36" s="3">
        <f t="shared" si="9"/>
        <v>0.938803363206974</v>
      </c>
      <c r="BO36" s="92">
        <f t="shared" si="10"/>
        <v>8.8614699508171688E-4</v>
      </c>
      <c r="BP36" s="3">
        <f t="shared" si="11"/>
        <v>6.0310489797944365E-2</v>
      </c>
      <c r="BQ36">
        <f t="shared" si="57"/>
        <v>1</v>
      </c>
      <c r="BR36" s="100">
        <f t="shared" si="58"/>
        <v>3.5843511932105374E-2</v>
      </c>
      <c r="BS36" s="100">
        <f t="shared" si="59"/>
        <v>6.0310489797944365E-2</v>
      </c>
      <c r="BT36" s="100"/>
      <c r="BU36" s="3">
        <f t="shared" si="60"/>
        <v>0.95043471391193435</v>
      </c>
      <c r="BV36" s="92">
        <f t="shared" si="61"/>
        <v>-1.1492423506398603E-2</v>
      </c>
      <c r="BW36" s="3">
        <f t="shared" si="62"/>
        <v>6.1057709594464382E-2</v>
      </c>
      <c r="BX36">
        <f t="shared" si="63"/>
        <v>1.0000000000000002</v>
      </c>
      <c r="BY36" s="100">
        <f t="shared" si="64"/>
        <v>2.1981377460345175E-2</v>
      </c>
      <c r="BZ36" s="100">
        <f t="shared" si="65"/>
        <v>6.1057709594464382E-2</v>
      </c>
      <c r="CB36" s="103">
        <f>'Amphibole P-T calcs'!EU36</f>
        <v>7.2228905425347563</v>
      </c>
      <c r="CC36" s="103">
        <f>'Amphibole P-T calcs'!EV36</f>
        <v>2.7180731381270806E-2</v>
      </c>
      <c r="CD36" s="103">
        <f>'Amphibole P-T calcs'!EW36</f>
        <v>0.51433358051645073</v>
      </c>
      <c r="CE36" s="103">
        <f>'Amphibole P-T calcs'!EX36</f>
        <v>0</v>
      </c>
      <c r="CF36" s="103">
        <f>'Amphibole P-T calcs'!EY36</f>
        <v>0</v>
      </c>
      <c r="CG36" s="103">
        <f>'Amphibole P-T calcs'!EZ36</f>
        <v>1.7644716746759623</v>
      </c>
      <c r="CH36" s="103">
        <f>'Amphibole P-T calcs'!FA36</f>
        <v>5.0618806290426255E-2</v>
      </c>
      <c r="CI36" s="103">
        <f>'Amphibole P-T calcs'!FB36</f>
        <v>5.6831964678309523</v>
      </c>
      <c r="CJ36" s="103">
        <f>'Amphibole P-T calcs'!FC36</f>
        <v>0.22783628143101728</v>
      </c>
      <c r="CK36" s="103">
        <f>'Amphibole P-T calcs'!FD36</f>
        <v>2.6946691732164609E-3</v>
      </c>
      <c r="CL36" s="103">
        <f>'Amphibole P-T calcs'!FE36</f>
        <v>1.7730331566081969E-3</v>
      </c>
      <c r="CM36">
        <f t="shared" si="66"/>
        <v>7.4982869487973414</v>
      </c>
      <c r="CN36">
        <f t="shared" si="67"/>
        <v>15.444376980700232</v>
      </c>
      <c r="CO36">
        <f t="shared" si="68"/>
        <v>15.262691803229817</v>
      </c>
      <c r="CQ36" s="3">
        <f t="shared" si="12"/>
        <v>0.46767121467966638</v>
      </c>
      <c r="CR36" s="3">
        <f t="shared" si="13"/>
        <v>1.7599111582964262E-3</v>
      </c>
      <c r="CS36" s="3">
        <f t="shared" si="14"/>
        <v>3.3302319747774728E-2</v>
      </c>
      <c r="CT36" s="3">
        <f t="shared" si="15"/>
        <v>0.114246866473209</v>
      </c>
      <c r="CU36" s="3">
        <f t="shared" si="16"/>
        <v>0.36797835710257842</v>
      </c>
      <c r="CV36" s="3">
        <f t="shared" si="17"/>
        <v>1.4752053884447945E-2</v>
      </c>
      <c r="CW36" s="3">
        <f t="shared" si="18"/>
        <v>1.7447574457576386E-4</v>
      </c>
      <c r="CX36" s="3">
        <f t="shared" si="19"/>
        <v>1.1480120945142906E-4</v>
      </c>
      <c r="CY36" s="3">
        <f t="shared" si="69"/>
        <v>1</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J26"/>
  <sheetViews>
    <sheetView topLeftCell="AQ1" workbookViewId="0">
      <selection activeCell="AX2" sqref="AX2"/>
    </sheetView>
  </sheetViews>
  <sheetFormatPr defaultColWidth="11.453125" defaultRowHeight="12.5" x14ac:dyDescent="0.25"/>
  <cols>
    <col min="3" max="3" width="5.6328125" customWidth="1"/>
    <col min="4" max="4" width="20.6328125" customWidth="1"/>
    <col min="5" max="5" width="25.1796875" customWidth="1"/>
    <col min="6" max="6" width="21" customWidth="1"/>
    <col min="7" max="7" width="12.453125" customWidth="1"/>
    <col min="8" max="8" width="15.453125" customWidth="1"/>
    <col min="9" max="9" width="26.453125" customWidth="1"/>
    <col min="10" max="10" width="16.453125" customWidth="1"/>
    <col min="11" max="17" width="12.453125" customWidth="1"/>
    <col min="18" max="18" width="7.81640625" customWidth="1"/>
    <col min="19" max="20" width="13" bestFit="1" customWidth="1"/>
    <col min="21" max="21" width="20" customWidth="1"/>
    <col min="22" max="22" width="21" customWidth="1"/>
    <col min="23" max="23" width="19" customWidth="1"/>
    <col min="24" max="24" width="18" customWidth="1"/>
    <col min="28" max="28" width="20.81640625" customWidth="1"/>
    <col min="29" max="29" width="22.1796875" customWidth="1"/>
    <col min="30" max="30" width="22.81640625" customWidth="1"/>
    <col min="31" max="31" width="14.81640625" customWidth="1"/>
    <col min="32" max="32" width="17.81640625" customWidth="1"/>
    <col min="33" max="36" width="14.81640625" customWidth="1"/>
    <col min="37" max="37" width="10.1796875" customWidth="1"/>
    <col min="38" max="38" width="22.453125" customWidth="1"/>
    <col min="39" max="39" width="20.6328125" customWidth="1"/>
    <col min="40" max="44" width="10.1796875" customWidth="1"/>
    <col min="45" max="47" width="19.6328125" customWidth="1"/>
    <col min="48" max="50" width="10.1796875" customWidth="1"/>
    <col min="51" max="51" width="12.81640625" customWidth="1"/>
    <col min="52" max="52" width="19" customWidth="1"/>
    <col min="53" max="53" width="19.36328125" customWidth="1"/>
    <col min="54" max="58" width="10.1796875" customWidth="1"/>
    <col min="59" max="59" width="23.6328125" customWidth="1"/>
    <col min="60" max="60" width="19.6328125" customWidth="1"/>
    <col min="61" max="61" width="16.6328125" customWidth="1"/>
    <col min="62" max="62" width="3.1796875" customWidth="1"/>
    <col min="63" max="64" width="14.81640625" customWidth="1"/>
    <col min="65" max="65" width="10.1796875" customWidth="1"/>
    <col min="66" max="66" width="23.6328125" customWidth="1"/>
    <col min="67" max="67" width="19.6328125" customWidth="1"/>
    <col min="68" max="68" width="16.6328125" customWidth="1"/>
    <col min="69" max="69" width="3.1796875" customWidth="1"/>
    <col min="70" max="71" width="14.81640625" customWidth="1"/>
    <col min="72" max="72" width="10.1796875" customWidth="1"/>
    <col min="73" max="73" width="23.6328125" customWidth="1"/>
    <col min="74" max="74" width="19.6328125" customWidth="1"/>
    <col min="75" max="75" width="16.6328125" customWidth="1"/>
    <col min="76" max="76" width="3.1796875" customWidth="1"/>
    <col min="77" max="78" width="14.81640625" customWidth="1"/>
    <col min="79" max="79" width="5.1796875" customWidth="1"/>
    <col min="80" max="80" width="21" customWidth="1"/>
    <col min="81" max="86" width="11.81640625" customWidth="1"/>
    <col min="87" max="92" width="14.81640625" customWidth="1"/>
    <col min="93" max="93" width="17" customWidth="1"/>
    <col min="94" max="94" width="3.1796875" customWidth="1"/>
    <col min="95" max="95" width="29" customWidth="1"/>
    <col min="96" max="96" width="20.81640625" customWidth="1"/>
    <col min="97" max="97" width="13.36328125" customWidth="1"/>
    <col min="98" max="98" width="14.1796875" customWidth="1"/>
    <col min="101" max="101" width="17.1796875" customWidth="1"/>
    <col min="106" max="106" width="26.81640625" customWidth="1"/>
  </cols>
  <sheetData>
    <row r="1" spans="1:114" ht="28.5" thickBot="1" x14ac:dyDescent="0.65">
      <c r="A1" s="41" t="s">
        <v>262</v>
      </c>
      <c r="K1" s="2" t="s">
        <v>240</v>
      </c>
      <c r="U1" s="2" t="s">
        <v>230</v>
      </c>
      <c r="AS1" t="s">
        <v>4</v>
      </c>
      <c r="AT1" t="s">
        <v>4</v>
      </c>
      <c r="AU1" t="s">
        <v>4</v>
      </c>
      <c r="AV1" t="s">
        <v>275</v>
      </c>
      <c r="AW1" t="s">
        <v>275</v>
      </c>
      <c r="AX1" t="s">
        <v>4</v>
      </c>
      <c r="AY1" t="s">
        <v>275</v>
      </c>
      <c r="AZ1" t="s">
        <v>4</v>
      </c>
      <c r="BA1" t="s">
        <v>275</v>
      </c>
      <c r="DC1" t="s">
        <v>169</v>
      </c>
      <c r="DD1" t="s">
        <v>170</v>
      </c>
      <c r="DE1" t="s">
        <v>171</v>
      </c>
      <c r="DF1" t="s">
        <v>59</v>
      </c>
      <c r="DG1" t="s">
        <v>61</v>
      </c>
      <c r="DH1" t="s">
        <v>172</v>
      </c>
      <c r="DI1" t="s">
        <v>173</v>
      </c>
      <c r="DJ1" t="s">
        <v>52</v>
      </c>
    </row>
    <row r="2" spans="1:114" ht="17.5" x14ac:dyDescent="0.45">
      <c r="I2" s="120"/>
      <c r="J2" s="121"/>
      <c r="K2" s="122" t="s">
        <v>225</v>
      </c>
      <c r="L2" s="122" t="s">
        <v>226</v>
      </c>
      <c r="M2" s="122" t="s">
        <v>227</v>
      </c>
      <c r="N2" s="122" t="s">
        <v>179</v>
      </c>
      <c r="O2" s="122" t="s">
        <v>61</v>
      </c>
      <c r="P2" s="122" t="s">
        <v>172</v>
      </c>
      <c r="Q2" s="122" t="s">
        <v>229</v>
      </c>
      <c r="R2" s="123" t="s">
        <v>228</v>
      </c>
      <c r="T2" s="128"/>
      <c r="U2" s="122" t="s">
        <v>213</v>
      </c>
      <c r="V2" s="122" t="s">
        <v>214</v>
      </c>
      <c r="W2" s="122" t="s">
        <v>258</v>
      </c>
      <c r="X2" s="122" t="s">
        <v>216</v>
      </c>
      <c r="Y2" s="122" t="s">
        <v>217</v>
      </c>
      <c r="Z2" s="122" t="s">
        <v>218</v>
      </c>
      <c r="AA2" s="122" t="s">
        <v>219</v>
      </c>
      <c r="AB2" s="123" t="s">
        <v>220</v>
      </c>
      <c r="AS2">
        <v>6.3</v>
      </c>
      <c r="AT2">
        <v>6.5</v>
      </c>
      <c r="AU2">
        <v>7.5</v>
      </c>
      <c r="AV2">
        <v>0</v>
      </c>
      <c r="AW2">
        <v>5</v>
      </c>
      <c r="AX2">
        <v>5.5</v>
      </c>
      <c r="AY2">
        <v>0.5</v>
      </c>
      <c r="AZ2">
        <v>7.5</v>
      </c>
      <c r="BA2">
        <v>0.9</v>
      </c>
      <c r="DA2" t="s">
        <v>201</v>
      </c>
      <c r="DB2" t="s">
        <v>202</v>
      </c>
      <c r="DC2">
        <f t="shared" ref="DC2:DJ13" si="0">DC15/$DJ15</f>
        <v>0.5</v>
      </c>
      <c r="DD2">
        <f t="shared" si="0"/>
        <v>0</v>
      </c>
      <c r="DE2">
        <f t="shared" si="0"/>
        <v>0</v>
      </c>
      <c r="DF2">
        <f t="shared" si="0"/>
        <v>0.3125</v>
      </c>
      <c r="DG2">
        <f t="shared" si="0"/>
        <v>6.25E-2</v>
      </c>
      <c r="DH2">
        <f t="shared" si="0"/>
        <v>0.125</v>
      </c>
      <c r="DI2">
        <f t="shared" si="0"/>
        <v>0</v>
      </c>
      <c r="DJ2">
        <f t="shared" si="0"/>
        <v>1</v>
      </c>
    </row>
    <row r="3" spans="1:114" ht="19" thickBot="1" x14ac:dyDescent="0.5">
      <c r="A3" s="43" t="s">
        <v>232</v>
      </c>
      <c r="B3" s="43"/>
      <c r="C3" s="43"/>
      <c r="D3" s="43"/>
      <c r="E3" s="43"/>
      <c r="F3" s="43"/>
      <c r="I3" s="124" t="s">
        <v>189</v>
      </c>
      <c r="J3" s="125" t="s">
        <v>242</v>
      </c>
      <c r="K3" s="71">
        <v>8</v>
      </c>
      <c r="L3" s="71">
        <v>0</v>
      </c>
      <c r="M3" s="71">
        <v>0</v>
      </c>
      <c r="N3" s="71">
        <v>7</v>
      </c>
      <c r="O3" s="71">
        <v>0</v>
      </c>
      <c r="P3" s="71">
        <v>0</v>
      </c>
      <c r="Q3" s="71">
        <v>0</v>
      </c>
      <c r="R3" s="58">
        <v>0</v>
      </c>
      <c r="T3" s="124" t="s">
        <v>225</v>
      </c>
      <c r="U3" s="71">
        <f t="array" ref="U3:AB10">MINVERSE(K3:R10)</f>
        <v>0</v>
      </c>
      <c r="V3" s="71">
        <v>0</v>
      </c>
      <c r="W3" s="71">
        <v>0</v>
      </c>
      <c r="X3" s="71">
        <v>0</v>
      </c>
      <c r="Y3" s="71">
        <v>0</v>
      </c>
      <c r="Z3" s="71">
        <v>0</v>
      </c>
      <c r="AA3" s="71">
        <v>0</v>
      </c>
      <c r="AB3" s="58">
        <v>8.6956521739130432E-2</v>
      </c>
      <c r="AS3">
        <v>7.2</v>
      </c>
      <c r="AT3">
        <v>6.5</v>
      </c>
      <c r="AU3">
        <v>7.5</v>
      </c>
      <c r="AV3">
        <v>0.5</v>
      </c>
      <c r="AW3">
        <v>5</v>
      </c>
      <c r="AX3">
        <v>7.75</v>
      </c>
      <c r="AY3">
        <v>0.5</v>
      </c>
      <c r="AZ3">
        <v>7.75</v>
      </c>
      <c r="BA3">
        <v>0.9</v>
      </c>
      <c r="DA3" t="s">
        <v>203</v>
      </c>
      <c r="DB3" t="s">
        <v>204</v>
      </c>
      <c r="DC3">
        <f t="shared" si="0"/>
        <v>0.5</v>
      </c>
      <c r="DD3">
        <f t="shared" si="0"/>
        <v>0</v>
      </c>
      <c r="DE3">
        <f t="shared" si="0"/>
        <v>0.125</v>
      </c>
      <c r="DF3">
        <f t="shared" si="0"/>
        <v>0.25</v>
      </c>
      <c r="DG3">
        <f t="shared" si="0"/>
        <v>6.25E-2</v>
      </c>
      <c r="DH3">
        <f t="shared" si="0"/>
        <v>6.25E-2</v>
      </c>
      <c r="DI3">
        <f t="shared" si="0"/>
        <v>0</v>
      </c>
      <c r="DJ3">
        <f t="shared" si="0"/>
        <v>1</v>
      </c>
    </row>
    <row r="4" spans="1:114" ht="18.5" x14ac:dyDescent="0.45">
      <c r="I4" s="124" t="s">
        <v>247</v>
      </c>
      <c r="J4" s="125" t="s">
        <v>243</v>
      </c>
      <c r="K4" s="71">
        <v>8</v>
      </c>
      <c r="L4" s="71">
        <v>0</v>
      </c>
      <c r="M4" s="71">
        <v>0</v>
      </c>
      <c r="N4" s="71">
        <v>5</v>
      </c>
      <c r="O4" s="71">
        <v>0</v>
      </c>
      <c r="P4" s="71">
        <v>2</v>
      </c>
      <c r="Q4" s="71">
        <v>0</v>
      </c>
      <c r="R4" s="58">
        <v>0</v>
      </c>
      <c r="T4" s="124" t="s">
        <v>226</v>
      </c>
      <c r="U4" s="71">
        <v>7.1428571428571425E-2</v>
      </c>
      <c r="V4" s="71">
        <v>0</v>
      </c>
      <c r="W4" s="71">
        <v>1</v>
      </c>
      <c r="X4" s="71">
        <v>0</v>
      </c>
      <c r="Y4" s="71">
        <v>-0.25</v>
      </c>
      <c r="Z4" s="71">
        <v>-1</v>
      </c>
      <c r="AA4" s="71">
        <v>0</v>
      </c>
      <c r="AB4" s="58">
        <v>-6.2111801242236003E-3</v>
      </c>
      <c r="AE4" s="109" t="s">
        <v>239</v>
      </c>
      <c r="AF4" s="110"/>
      <c r="AG4" s="110"/>
      <c r="AH4" s="110"/>
      <c r="AI4" s="111" t="s">
        <v>167</v>
      </c>
      <c r="AJ4" s="112" t="s">
        <v>168</v>
      </c>
      <c r="AS4">
        <v>8</v>
      </c>
      <c r="AT4">
        <v>6.5</v>
      </c>
      <c r="AU4">
        <v>7.5</v>
      </c>
      <c r="AV4">
        <v>0.9</v>
      </c>
      <c r="AW4">
        <v>5</v>
      </c>
      <c r="AX4">
        <v>8</v>
      </c>
      <c r="AY4">
        <v>0.5</v>
      </c>
      <c r="AZ4">
        <v>8</v>
      </c>
      <c r="BA4">
        <v>0.9</v>
      </c>
      <c r="DA4" t="s">
        <v>192</v>
      </c>
      <c r="DB4" t="s">
        <v>195</v>
      </c>
      <c r="DC4">
        <f t="shared" si="0"/>
        <v>0.4375</v>
      </c>
      <c r="DD4">
        <f t="shared" si="0"/>
        <v>0</v>
      </c>
      <c r="DE4">
        <f t="shared" si="0"/>
        <v>6.25E-2</v>
      </c>
      <c r="DF4">
        <f t="shared" si="0"/>
        <v>0.3125</v>
      </c>
      <c r="DG4">
        <f t="shared" si="0"/>
        <v>0.125</v>
      </c>
      <c r="DH4">
        <f t="shared" si="0"/>
        <v>0</v>
      </c>
      <c r="DI4">
        <f t="shared" si="0"/>
        <v>6.25E-2</v>
      </c>
      <c r="DJ4">
        <f t="shared" si="0"/>
        <v>1</v>
      </c>
    </row>
    <row r="5" spans="1:114" ht="20.5" x14ac:dyDescent="0.45">
      <c r="A5" s="44" t="s">
        <v>241</v>
      </c>
      <c r="B5" s="44"/>
      <c r="C5" s="44"/>
      <c r="D5" s="44"/>
      <c r="E5" s="44"/>
      <c r="F5" s="44"/>
      <c r="I5" s="124" t="s">
        <v>193</v>
      </c>
      <c r="J5" s="125" t="s">
        <v>244</v>
      </c>
      <c r="K5" s="71">
        <v>-2</v>
      </c>
      <c r="L5" s="71">
        <v>1</v>
      </c>
      <c r="M5" s="71">
        <v>2</v>
      </c>
      <c r="N5" s="71">
        <v>-1</v>
      </c>
      <c r="O5" s="71">
        <v>0</v>
      </c>
      <c r="P5" s="71">
        <v>0</v>
      </c>
      <c r="Q5" s="71">
        <v>1</v>
      </c>
      <c r="R5" s="58">
        <v>0</v>
      </c>
      <c r="T5" s="124" t="s">
        <v>227</v>
      </c>
      <c r="U5" s="71">
        <v>7.1428571428571425E-2</v>
      </c>
      <c r="V5" s="71">
        <v>0</v>
      </c>
      <c r="W5" s="71">
        <v>0</v>
      </c>
      <c r="X5" s="71">
        <v>0</v>
      </c>
      <c r="Y5" s="71">
        <v>0.25</v>
      </c>
      <c r="Z5" s="71">
        <v>0</v>
      </c>
      <c r="AA5" s="71">
        <v>0</v>
      </c>
      <c r="AB5" s="58">
        <v>-6.2111801242236003E-3</v>
      </c>
      <c r="AE5" s="113">
        <v>0</v>
      </c>
      <c r="AF5" s="19">
        <v>0</v>
      </c>
      <c r="AG5" s="19">
        <v>0</v>
      </c>
      <c r="AH5" s="19"/>
      <c r="AI5" s="114">
        <f>AF5/COS(RADIANS(30))+AG5*TAN(RADIANS(30))</f>
        <v>0</v>
      </c>
      <c r="AJ5" s="115">
        <f>AG5</f>
        <v>0</v>
      </c>
      <c r="AS5">
        <v>7.1</v>
      </c>
      <c r="AT5">
        <v>6.5</v>
      </c>
      <c r="AU5">
        <v>7.5</v>
      </c>
      <c r="AV5">
        <v>1</v>
      </c>
      <c r="AW5">
        <v>5</v>
      </c>
      <c r="DA5" t="s">
        <v>191</v>
      </c>
      <c r="DB5" t="s">
        <v>205</v>
      </c>
      <c r="DC5">
        <f t="shared" si="0"/>
        <v>0.53333333333333333</v>
      </c>
      <c r="DD5">
        <f t="shared" si="0"/>
        <v>0</v>
      </c>
      <c r="DE5">
        <f t="shared" si="0"/>
        <v>0</v>
      </c>
      <c r="DF5">
        <f t="shared" si="0"/>
        <v>0.33333333333333331</v>
      </c>
      <c r="DG5">
        <f t="shared" si="0"/>
        <v>0.13333333333333333</v>
      </c>
      <c r="DH5">
        <f t="shared" si="0"/>
        <v>0</v>
      </c>
      <c r="DI5">
        <f t="shared" si="0"/>
        <v>0</v>
      </c>
      <c r="DJ5">
        <f t="shared" si="0"/>
        <v>1</v>
      </c>
    </row>
    <row r="6" spans="1:114" ht="20.5" x14ac:dyDescent="0.45">
      <c r="A6" s="44" t="s">
        <v>263</v>
      </c>
      <c r="B6" s="44"/>
      <c r="C6" s="44"/>
      <c r="D6" s="44"/>
      <c r="E6" s="44"/>
      <c r="F6" s="44"/>
      <c r="G6" s="44"/>
      <c r="I6" s="124" t="s">
        <v>221</v>
      </c>
      <c r="J6" s="125" t="s">
        <v>216</v>
      </c>
      <c r="K6" s="71">
        <v>0</v>
      </c>
      <c r="L6" s="71">
        <v>0</v>
      </c>
      <c r="M6" s="71">
        <v>0</v>
      </c>
      <c r="N6" s="71">
        <v>0</v>
      </c>
      <c r="O6" s="71">
        <v>0</v>
      </c>
      <c r="P6" s="71">
        <v>0</v>
      </c>
      <c r="Q6" s="71">
        <v>-1</v>
      </c>
      <c r="R6" s="58">
        <v>1</v>
      </c>
      <c r="T6" s="124" t="s">
        <v>59</v>
      </c>
      <c r="U6" s="71">
        <v>0.14285714285714285</v>
      </c>
      <c r="V6" s="71">
        <v>0</v>
      </c>
      <c r="W6" s="71">
        <v>0</v>
      </c>
      <c r="X6" s="71">
        <v>0</v>
      </c>
      <c r="Y6" s="71">
        <v>0</v>
      </c>
      <c r="Z6" s="71">
        <v>0</v>
      </c>
      <c r="AA6" s="71">
        <v>0</v>
      </c>
      <c r="AB6" s="58">
        <v>-9.9378881987577633E-2</v>
      </c>
      <c r="AE6" s="113">
        <v>0</v>
      </c>
      <c r="AF6" s="19">
        <v>1</v>
      </c>
      <c r="AG6" s="19">
        <v>0</v>
      </c>
      <c r="AH6" s="19"/>
      <c r="AI6" s="114">
        <f>AF6/COS(RADIANS(30))+AG6*TAN(RADIANS(30))</f>
        <v>1.1547005383792515</v>
      </c>
      <c r="AJ6" s="115">
        <f>AG6</f>
        <v>0</v>
      </c>
      <c r="DA6" t="s">
        <v>200</v>
      </c>
      <c r="DB6" t="s">
        <v>206</v>
      </c>
      <c r="DC6">
        <f t="shared" si="0"/>
        <v>0.375</v>
      </c>
      <c r="DD6">
        <f t="shared" si="0"/>
        <v>0</v>
      </c>
      <c r="DE6">
        <f t="shared" si="0"/>
        <v>0.1875</v>
      </c>
      <c r="DF6">
        <f t="shared" si="0"/>
        <v>0.25</v>
      </c>
      <c r="DG6">
        <f t="shared" si="0"/>
        <v>0.125</v>
      </c>
      <c r="DH6">
        <f t="shared" si="0"/>
        <v>6.25E-2</v>
      </c>
      <c r="DI6">
        <f t="shared" si="0"/>
        <v>0</v>
      </c>
      <c r="DJ6">
        <f t="shared" si="0"/>
        <v>1</v>
      </c>
    </row>
    <row r="7" spans="1:114" ht="17.5" x14ac:dyDescent="0.45">
      <c r="I7" s="124" t="s">
        <v>222</v>
      </c>
      <c r="J7" s="125" t="s">
        <v>245</v>
      </c>
      <c r="K7" s="71">
        <v>-2</v>
      </c>
      <c r="L7" s="71">
        <v>0</v>
      </c>
      <c r="M7" s="71">
        <v>4</v>
      </c>
      <c r="N7" s="71">
        <v>-2</v>
      </c>
      <c r="O7" s="71">
        <v>0</v>
      </c>
      <c r="P7" s="71">
        <v>0</v>
      </c>
      <c r="Q7" s="71">
        <v>0</v>
      </c>
      <c r="R7" s="58">
        <v>0</v>
      </c>
      <c r="T7" s="124" t="s">
        <v>61</v>
      </c>
      <c r="U7" s="71">
        <v>0.14285714285714285</v>
      </c>
      <c r="V7" s="71">
        <v>0</v>
      </c>
      <c r="W7" s="71">
        <v>0</v>
      </c>
      <c r="X7" s="71">
        <v>0</v>
      </c>
      <c r="Y7" s="71">
        <v>0</v>
      </c>
      <c r="Z7" s="71">
        <v>0</v>
      </c>
      <c r="AA7" s="71">
        <v>-1</v>
      </c>
      <c r="AB7" s="58">
        <v>-9.9378881987577633E-2</v>
      </c>
      <c r="AE7" s="113">
        <v>0</v>
      </c>
      <c r="AF7" s="19">
        <v>0</v>
      </c>
      <c r="AG7" s="19">
        <v>1</v>
      </c>
      <c r="AH7" s="19"/>
      <c r="AI7" s="114">
        <f>AF7/COS(RADIANS(30))+AG7*TAN(RADIANS(30))</f>
        <v>0.57735026918962573</v>
      </c>
      <c r="AJ7" s="115">
        <f>AG7</f>
        <v>1</v>
      </c>
      <c r="DA7" t="s">
        <v>196</v>
      </c>
      <c r="DB7" t="s">
        <v>197</v>
      </c>
      <c r="DC7">
        <f t="shared" si="0"/>
        <v>0.4</v>
      </c>
      <c r="DD7">
        <f t="shared" si="0"/>
        <v>0</v>
      </c>
      <c r="DE7">
        <f t="shared" si="0"/>
        <v>0.26666666666666666</v>
      </c>
      <c r="DF7">
        <f t="shared" si="0"/>
        <v>0.2</v>
      </c>
      <c r="DG7">
        <f t="shared" si="0"/>
        <v>0.13333333333333333</v>
      </c>
      <c r="DH7">
        <f t="shared" si="0"/>
        <v>0</v>
      </c>
      <c r="DI7">
        <f t="shared" si="0"/>
        <v>0</v>
      </c>
      <c r="DJ7">
        <f t="shared" si="0"/>
        <v>1</v>
      </c>
    </row>
    <row r="8" spans="1:114" ht="18.5" x14ac:dyDescent="0.45">
      <c r="A8" s="42" t="s">
        <v>114</v>
      </c>
      <c r="B8" s="42"/>
      <c r="C8" s="42"/>
      <c r="D8" s="42"/>
      <c r="I8" s="124" t="s">
        <v>267</v>
      </c>
      <c r="J8" s="125" t="s">
        <v>218</v>
      </c>
      <c r="K8" s="71">
        <v>-1</v>
      </c>
      <c r="L8" s="71">
        <v>0</v>
      </c>
      <c r="M8" s="71">
        <v>1</v>
      </c>
      <c r="N8" s="71">
        <v>0</v>
      </c>
      <c r="O8" s="71">
        <v>0</v>
      </c>
      <c r="P8" s="71">
        <v>0</v>
      </c>
      <c r="Q8" s="71">
        <v>1</v>
      </c>
      <c r="R8" s="58">
        <v>0</v>
      </c>
      <c r="T8" s="124" t="s">
        <v>172</v>
      </c>
      <c r="U8" s="71">
        <v>-0.35714285714285715</v>
      </c>
      <c r="V8" s="71">
        <v>0.5</v>
      </c>
      <c r="W8" s="71">
        <v>0</v>
      </c>
      <c r="X8" s="71">
        <v>0</v>
      </c>
      <c r="Y8" s="71">
        <v>0</v>
      </c>
      <c r="Z8" s="71">
        <v>0</v>
      </c>
      <c r="AA8" s="71">
        <v>0</v>
      </c>
      <c r="AB8" s="58">
        <v>-9.9378881987577633E-2</v>
      </c>
      <c r="AE8" s="113">
        <v>0</v>
      </c>
      <c r="AF8" s="19">
        <v>0</v>
      </c>
      <c r="AG8" s="19">
        <v>1</v>
      </c>
      <c r="AH8" s="19"/>
      <c r="AI8" s="114">
        <f>AF8/COS(RADIANS(30))+AG8*TAN(RADIANS(30))</f>
        <v>0.57735026918962573</v>
      </c>
      <c r="AJ8" s="115">
        <f>AG8</f>
        <v>1</v>
      </c>
      <c r="DA8" t="s">
        <v>193</v>
      </c>
      <c r="DB8" t="s">
        <v>194</v>
      </c>
      <c r="DC8">
        <f t="shared" si="0"/>
        <v>0.375</v>
      </c>
      <c r="DD8">
        <f t="shared" si="0"/>
        <v>6.25E-2</v>
      </c>
      <c r="DE8">
        <f t="shared" si="0"/>
        <v>0.125</v>
      </c>
      <c r="DF8">
        <f t="shared" si="0"/>
        <v>0.25</v>
      </c>
      <c r="DG8">
        <f t="shared" si="0"/>
        <v>0.125</v>
      </c>
      <c r="DH8">
        <f t="shared" si="0"/>
        <v>6.25E-2</v>
      </c>
      <c r="DI8">
        <f t="shared" si="0"/>
        <v>0</v>
      </c>
      <c r="DJ8">
        <f t="shared" si="0"/>
        <v>1</v>
      </c>
    </row>
    <row r="9" spans="1:114" ht="18" thickBot="1" x14ac:dyDescent="0.5">
      <c r="I9" s="124" t="s">
        <v>248</v>
      </c>
      <c r="J9" s="125" t="s">
        <v>246</v>
      </c>
      <c r="K9" s="71">
        <v>0</v>
      </c>
      <c r="L9" s="71">
        <v>0</v>
      </c>
      <c r="M9" s="71">
        <v>0</v>
      </c>
      <c r="N9" s="71">
        <v>1</v>
      </c>
      <c r="O9" s="71">
        <v>-1</v>
      </c>
      <c r="P9" s="71">
        <v>0</v>
      </c>
      <c r="Q9" s="71">
        <v>0</v>
      </c>
      <c r="R9" s="58">
        <v>0</v>
      </c>
      <c r="T9" s="124" t="s">
        <v>229</v>
      </c>
      <c r="U9" s="71">
        <v>-7.1428571428571425E-2</v>
      </c>
      <c r="V9" s="71">
        <v>0</v>
      </c>
      <c r="W9" s="71">
        <v>0</v>
      </c>
      <c r="X9" s="71">
        <v>0</v>
      </c>
      <c r="Y9" s="71">
        <v>-0.25</v>
      </c>
      <c r="Z9" s="71">
        <v>1</v>
      </c>
      <c r="AA9" s="71">
        <v>0</v>
      </c>
      <c r="AB9" s="58">
        <v>9.3167701863354033E-2</v>
      </c>
      <c r="AE9" s="116">
        <v>1</v>
      </c>
      <c r="AF9" s="117">
        <v>0</v>
      </c>
      <c r="AG9" s="117">
        <v>0</v>
      </c>
      <c r="AH9" s="117"/>
      <c r="AI9" s="118">
        <f>AF9/COS(RADIANS(30))+AG9*TAN(RADIANS(30))</f>
        <v>0</v>
      </c>
      <c r="AJ9" s="119">
        <f>AG9</f>
        <v>0</v>
      </c>
      <c r="DA9" t="s">
        <v>189</v>
      </c>
      <c r="DB9" t="s">
        <v>190</v>
      </c>
      <c r="DC9">
        <f t="shared" si="0"/>
        <v>0.53333333333333333</v>
      </c>
      <c r="DD9">
        <f t="shared" si="0"/>
        <v>0</v>
      </c>
      <c r="DE9">
        <f t="shared" si="0"/>
        <v>0</v>
      </c>
      <c r="DF9">
        <f t="shared" si="0"/>
        <v>0.46666666666666667</v>
      </c>
      <c r="DG9">
        <f t="shared" si="0"/>
        <v>0</v>
      </c>
      <c r="DH9">
        <f t="shared" si="0"/>
        <v>0</v>
      </c>
      <c r="DI9">
        <f t="shared" si="0"/>
        <v>0</v>
      </c>
      <c r="DJ9">
        <f t="shared" si="0"/>
        <v>1</v>
      </c>
    </row>
    <row r="10" spans="1:114" ht="19" thickBot="1" x14ac:dyDescent="0.5">
      <c r="I10" s="126" t="s">
        <v>224</v>
      </c>
      <c r="J10" s="127" t="s">
        <v>220</v>
      </c>
      <c r="K10" s="68">
        <v>11.5</v>
      </c>
      <c r="L10" s="68">
        <v>0</v>
      </c>
      <c r="M10" s="68">
        <v>0</v>
      </c>
      <c r="N10" s="68">
        <v>0</v>
      </c>
      <c r="O10" s="68">
        <v>0</v>
      </c>
      <c r="P10" s="68">
        <v>0</v>
      </c>
      <c r="Q10" s="68">
        <v>0</v>
      </c>
      <c r="R10" s="78">
        <v>0</v>
      </c>
      <c r="T10" s="126" t="s">
        <v>228</v>
      </c>
      <c r="U10" s="68">
        <v>-7.1428571428571425E-2</v>
      </c>
      <c r="V10" s="68">
        <v>0</v>
      </c>
      <c r="W10" s="68">
        <v>0</v>
      </c>
      <c r="X10" s="68">
        <v>1</v>
      </c>
      <c r="Y10" s="68">
        <v>-0.25</v>
      </c>
      <c r="Z10" s="68">
        <v>1</v>
      </c>
      <c r="AA10" s="68">
        <v>0</v>
      </c>
      <c r="AB10" s="78">
        <v>9.3167701863354033E-2</v>
      </c>
      <c r="BG10" s="135" t="s">
        <v>259</v>
      </c>
      <c r="DA10" t="s">
        <v>207</v>
      </c>
      <c r="DB10" t="s">
        <v>208</v>
      </c>
      <c r="DC10">
        <f t="shared" si="0"/>
        <v>0.4</v>
      </c>
      <c r="DD10">
        <f t="shared" si="0"/>
        <v>0</v>
      </c>
      <c r="DE10">
        <f t="shared" si="0"/>
        <v>0.26666666666666666</v>
      </c>
      <c r="DF10">
        <f t="shared" si="0"/>
        <v>0.33333333333333331</v>
      </c>
      <c r="DG10">
        <f t="shared" si="0"/>
        <v>0</v>
      </c>
      <c r="DH10">
        <f t="shared" si="0"/>
        <v>0</v>
      </c>
      <c r="DI10">
        <f t="shared" si="0"/>
        <v>0</v>
      </c>
      <c r="DJ10">
        <f t="shared" si="0"/>
        <v>1</v>
      </c>
    </row>
    <row r="11" spans="1:114" ht="17.5" x14ac:dyDescent="0.35">
      <c r="BG11" s="134" t="s">
        <v>260</v>
      </c>
      <c r="DA11" t="s">
        <v>198</v>
      </c>
      <c r="DB11" t="s">
        <v>199</v>
      </c>
      <c r="DC11">
        <f t="shared" si="0"/>
        <v>0.375</v>
      </c>
      <c r="DD11">
        <f t="shared" si="0"/>
        <v>0</v>
      </c>
      <c r="DE11">
        <f t="shared" si="0"/>
        <v>0.1875</v>
      </c>
      <c r="DF11">
        <f t="shared" si="0"/>
        <v>0.375</v>
      </c>
      <c r="DG11">
        <f t="shared" si="0"/>
        <v>0</v>
      </c>
      <c r="DH11">
        <f t="shared" si="0"/>
        <v>6.25E-2</v>
      </c>
      <c r="DI11">
        <f t="shared" si="0"/>
        <v>0</v>
      </c>
      <c r="DJ11">
        <f t="shared" si="0"/>
        <v>1</v>
      </c>
    </row>
    <row r="12" spans="1:114" ht="18" x14ac:dyDescent="0.4">
      <c r="D12" s="101" t="s">
        <v>175</v>
      </c>
      <c r="X12" s="104" t="s">
        <v>233</v>
      </c>
      <c r="AE12" s="104" t="s">
        <v>234</v>
      </c>
      <c r="AL12" s="104" t="s">
        <v>235</v>
      </c>
      <c r="AS12" s="104" t="s">
        <v>236</v>
      </c>
      <c r="AZ12" s="104" t="s">
        <v>237</v>
      </c>
      <c r="BG12" s="104" t="s">
        <v>238</v>
      </c>
      <c r="BN12" s="104" t="s">
        <v>251</v>
      </c>
      <c r="BU12" s="104" t="s">
        <v>256</v>
      </c>
      <c r="DA12" t="s">
        <v>209</v>
      </c>
      <c r="DB12" t="s">
        <v>199</v>
      </c>
      <c r="DC12">
        <f t="shared" si="0"/>
        <v>0.375</v>
      </c>
      <c r="DD12">
        <f t="shared" si="0"/>
        <v>0</v>
      </c>
      <c r="DE12">
        <f t="shared" si="0"/>
        <v>0.1875</v>
      </c>
      <c r="DF12">
        <f t="shared" si="0"/>
        <v>0.375</v>
      </c>
      <c r="DG12">
        <f t="shared" si="0"/>
        <v>0</v>
      </c>
      <c r="DH12">
        <f t="shared" si="0"/>
        <v>0</v>
      </c>
      <c r="DI12">
        <f t="shared" si="0"/>
        <v>6.25E-2</v>
      </c>
      <c r="DJ12">
        <f t="shared" si="0"/>
        <v>1</v>
      </c>
    </row>
    <row r="13" spans="1:114" ht="20.5" thickBot="1" x14ac:dyDescent="0.45">
      <c r="A13" s="1"/>
      <c r="B13" s="67"/>
      <c r="C13" s="67"/>
      <c r="D13" s="27" t="s">
        <v>189</v>
      </c>
      <c r="E13" s="27" t="s">
        <v>247</v>
      </c>
      <c r="F13" s="27" t="s">
        <v>193</v>
      </c>
      <c r="G13" s="27" t="s">
        <v>221</v>
      </c>
      <c r="H13" s="27" t="s">
        <v>222</v>
      </c>
      <c r="I13" s="27" t="s">
        <v>192</v>
      </c>
      <c r="J13" s="27" t="s">
        <v>223</v>
      </c>
      <c r="K13" s="27" t="s">
        <v>224</v>
      </c>
      <c r="N13" s="101" t="s">
        <v>175</v>
      </c>
      <c r="O13" s="102"/>
      <c r="P13" s="102"/>
      <c r="Q13" s="102"/>
      <c r="R13" s="102"/>
      <c r="S13" s="102"/>
      <c r="T13" s="102"/>
      <c r="U13" s="102"/>
      <c r="X13" t="s">
        <v>176</v>
      </c>
      <c r="Y13" t="s">
        <v>177</v>
      </c>
      <c r="Z13" t="s">
        <v>178</v>
      </c>
      <c r="AE13" t="s">
        <v>176</v>
      </c>
      <c r="AF13" t="s">
        <v>177</v>
      </c>
      <c r="AG13" t="s">
        <v>178</v>
      </c>
      <c r="AL13" t="s">
        <v>176</v>
      </c>
      <c r="AM13" t="s">
        <v>177</v>
      </c>
      <c r="AN13" t="s">
        <v>178</v>
      </c>
      <c r="AS13" s="19" t="s">
        <v>176</v>
      </c>
      <c r="AT13" s="19" t="s">
        <v>177</v>
      </c>
      <c r="AU13" s="19" t="s">
        <v>178</v>
      </c>
      <c r="AV13" s="19"/>
      <c r="AW13" s="19"/>
      <c r="AX13" s="19"/>
      <c r="AZ13" t="s">
        <v>176</v>
      </c>
      <c r="BA13" t="s">
        <v>177</v>
      </c>
      <c r="BB13" t="s">
        <v>178</v>
      </c>
      <c r="BG13" s="19" t="s">
        <v>176</v>
      </c>
      <c r="BH13" s="19" t="s">
        <v>177</v>
      </c>
      <c r="BI13" s="19" t="s">
        <v>178</v>
      </c>
      <c r="BJ13" s="19"/>
      <c r="BK13" s="19"/>
      <c r="BL13" s="19"/>
      <c r="BN13" s="19" t="s">
        <v>176</v>
      </c>
      <c r="BO13" s="19" t="s">
        <v>177</v>
      </c>
      <c r="BP13" s="19" t="s">
        <v>178</v>
      </c>
      <c r="BQ13" s="19"/>
      <c r="BR13" s="19"/>
      <c r="BS13" s="19"/>
      <c r="BU13" s="19" t="s">
        <v>176</v>
      </c>
      <c r="BV13" s="19" t="s">
        <v>177</v>
      </c>
      <c r="BW13" s="19" t="s">
        <v>178</v>
      </c>
      <c r="BX13" s="19"/>
      <c r="BY13" s="19"/>
      <c r="BZ13" s="19"/>
      <c r="CB13" s="15" t="s">
        <v>231</v>
      </c>
      <c r="CC13" s="67"/>
      <c r="CD13" s="67"/>
      <c r="CE13" s="67"/>
      <c r="CF13" s="67"/>
      <c r="CG13" s="67"/>
      <c r="CH13" s="67"/>
      <c r="CI13" s="67"/>
      <c r="CJ13" s="67"/>
      <c r="CK13" s="67"/>
      <c r="CL13" s="67"/>
      <c r="CM13" s="67" t="s">
        <v>23</v>
      </c>
      <c r="CN13" s="67" t="s">
        <v>13</v>
      </c>
      <c r="CO13" s="67"/>
      <c r="CQ13" t="s">
        <v>169</v>
      </c>
      <c r="CR13" t="s">
        <v>170</v>
      </c>
      <c r="CS13" t="s">
        <v>171</v>
      </c>
      <c r="CT13" t="s">
        <v>59</v>
      </c>
      <c r="CU13" t="s">
        <v>61</v>
      </c>
      <c r="CV13" t="s">
        <v>172</v>
      </c>
      <c r="CW13" t="s">
        <v>173</v>
      </c>
      <c r="CX13" t="s">
        <v>52</v>
      </c>
      <c r="DA13" t="s">
        <v>210</v>
      </c>
      <c r="DB13" t="s">
        <v>211</v>
      </c>
      <c r="DC13">
        <f t="shared" si="0"/>
        <v>0.3125</v>
      </c>
      <c r="DD13">
        <f t="shared" si="0"/>
        <v>0</v>
      </c>
      <c r="DE13">
        <f t="shared" si="0"/>
        <v>0.3125</v>
      </c>
      <c r="DF13">
        <f t="shared" si="0"/>
        <v>0.1875</v>
      </c>
      <c r="DG13">
        <f t="shared" si="0"/>
        <v>0.125</v>
      </c>
      <c r="DH13">
        <f t="shared" si="0"/>
        <v>6.25E-2</v>
      </c>
      <c r="DI13">
        <f t="shared" si="0"/>
        <v>0</v>
      </c>
      <c r="DJ13">
        <f t="shared" si="0"/>
        <v>1</v>
      </c>
    </row>
    <row r="14" spans="1:114" s="67" customFormat="1" ht="21" thickBot="1" x14ac:dyDescent="0.55000000000000004">
      <c r="A14" s="21" t="s">
        <v>72</v>
      </c>
      <c r="B14" s="1"/>
      <c r="C14"/>
      <c r="D14" s="55" t="s">
        <v>268</v>
      </c>
      <c r="E14" s="55" t="s">
        <v>182</v>
      </c>
      <c r="F14" s="55" t="s">
        <v>183</v>
      </c>
      <c r="G14" s="55" t="s">
        <v>184</v>
      </c>
      <c r="H14" s="55" t="s">
        <v>185</v>
      </c>
      <c r="I14" s="55" t="s">
        <v>186</v>
      </c>
      <c r="J14" s="55" t="s">
        <v>187</v>
      </c>
      <c r="K14" s="106" t="s">
        <v>188</v>
      </c>
      <c r="L14" s="67" t="s">
        <v>35</v>
      </c>
      <c r="N14" s="55" t="s">
        <v>181</v>
      </c>
      <c r="O14" s="55" t="s">
        <v>182</v>
      </c>
      <c r="P14" s="55" t="s">
        <v>183</v>
      </c>
      <c r="Q14" s="55" t="s">
        <v>184</v>
      </c>
      <c r="R14" s="55" t="s">
        <v>185</v>
      </c>
      <c r="S14" s="55" t="s">
        <v>186</v>
      </c>
      <c r="T14" s="55" t="s">
        <v>187</v>
      </c>
      <c r="U14" s="55" t="s">
        <v>188</v>
      </c>
      <c r="V14" s="67" t="s">
        <v>35</v>
      </c>
      <c r="X14" s="131" t="s">
        <v>214</v>
      </c>
      <c r="Y14" s="131" t="s">
        <v>218</v>
      </c>
      <c r="Z14" s="131" t="s">
        <v>216</v>
      </c>
      <c r="AA14" s="105"/>
      <c r="AB14" s="105" t="s">
        <v>167</v>
      </c>
      <c r="AC14" s="105" t="s">
        <v>168</v>
      </c>
      <c r="AE14" s="132" t="s">
        <v>213</v>
      </c>
      <c r="AF14" s="132" t="s">
        <v>217</v>
      </c>
      <c r="AG14" s="132" t="s">
        <v>216</v>
      </c>
      <c r="AH14" s="105"/>
      <c r="AI14" s="105" t="s">
        <v>167</v>
      </c>
      <c r="AJ14" s="105" t="s">
        <v>168</v>
      </c>
      <c r="AL14" s="132" t="s">
        <v>214</v>
      </c>
      <c r="AM14" s="132" t="s">
        <v>213</v>
      </c>
      <c r="AN14" s="132" t="s">
        <v>216</v>
      </c>
      <c r="AO14" s="105"/>
      <c r="AP14" s="105" t="s">
        <v>167</v>
      </c>
      <c r="AQ14" s="105" t="s">
        <v>168</v>
      </c>
      <c r="AS14" s="132" t="s">
        <v>214</v>
      </c>
      <c r="AT14" s="132" t="s">
        <v>215</v>
      </c>
      <c r="AU14" s="132" t="s">
        <v>217</v>
      </c>
      <c r="AV14" s="105"/>
      <c r="AW14" s="105" t="s">
        <v>167</v>
      </c>
      <c r="AX14" s="105" t="s">
        <v>168</v>
      </c>
      <c r="AZ14" s="132" t="s">
        <v>214</v>
      </c>
      <c r="BA14" s="132" t="s">
        <v>215</v>
      </c>
      <c r="BB14" s="131" t="s">
        <v>218</v>
      </c>
      <c r="BC14" s="105"/>
      <c r="BD14" s="105" t="s">
        <v>167</v>
      </c>
      <c r="BE14" s="105" t="s">
        <v>168</v>
      </c>
      <c r="BG14" s="132" t="s">
        <v>214</v>
      </c>
      <c r="BH14" s="132" t="s">
        <v>215</v>
      </c>
      <c r="BI14" s="132" t="s">
        <v>218</v>
      </c>
      <c r="BJ14" s="105"/>
      <c r="BK14" s="105" t="s">
        <v>167</v>
      </c>
      <c r="BL14" s="105" t="s">
        <v>168</v>
      </c>
      <c r="BN14" s="132" t="s">
        <v>214</v>
      </c>
      <c r="BO14" s="132" t="s">
        <v>216</v>
      </c>
      <c r="BP14" s="132" t="s">
        <v>217</v>
      </c>
      <c r="BQ14" s="105"/>
      <c r="BR14" s="105" t="s">
        <v>167</v>
      </c>
      <c r="BS14" s="105" t="s">
        <v>168</v>
      </c>
      <c r="BU14" s="132" t="s">
        <v>214</v>
      </c>
      <c r="BV14" s="132" t="s">
        <v>218</v>
      </c>
      <c r="BW14" s="132" t="s">
        <v>217</v>
      </c>
      <c r="BX14" s="105"/>
      <c r="BY14" s="105" t="s">
        <v>167</v>
      </c>
      <c r="BZ14" s="105" t="s">
        <v>168</v>
      </c>
      <c r="CB14" s="1" t="s">
        <v>4</v>
      </c>
      <c r="CC14" s="1" t="s">
        <v>5</v>
      </c>
      <c r="CD14" s="1" t="s">
        <v>29</v>
      </c>
      <c r="CE14" s="1" t="s">
        <v>10</v>
      </c>
      <c r="CF14" s="1" t="s">
        <v>11</v>
      </c>
      <c r="CG14" s="1" t="s">
        <v>12</v>
      </c>
      <c r="CH14" s="1" t="s">
        <v>30</v>
      </c>
      <c r="CI14" s="1" t="s">
        <v>6</v>
      </c>
      <c r="CJ14" s="1" t="s">
        <v>7</v>
      </c>
      <c r="CK14" s="1" t="s">
        <v>8</v>
      </c>
      <c r="CL14" s="1" t="s">
        <v>9</v>
      </c>
      <c r="CM14" t="s">
        <v>179</v>
      </c>
      <c r="CN14" t="s">
        <v>14</v>
      </c>
      <c r="CO14" t="s">
        <v>15</v>
      </c>
      <c r="CQ14" s="92" t="s">
        <v>169</v>
      </c>
      <c r="CR14" s="92" t="s">
        <v>170</v>
      </c>
      <c r="CS14" s="92" t="s">
        <v>171</v>
      </c>
      <c r="CT14" s="92" t="s">
        <v>20</v>
      </c>
      <c r="CU14" s="92" t="s">
        <v>61</v>
      </c>
      <c r="CV14" s="92" t="s">
        <v>172</v>
      </c>
      <c r="CW14" s="92" t="s">
        <v>180</v>
      </c>
      <c r="CX14" s="92" t="s">
        <v>174</v>
      </c>
      <c r="CY14" s="92"/>
      <c r="DA14"/>
      <c r="DB14"/>
      <c r="DC14" t="s">
        <v>169</v>
      </c>
      <c r="DD14" t="s">
        <v>170</v>
      </c>
      <c r="DE14" t="s">
        <v>171</v>
      </c>
      <c r="DF14" t="s">
        <v>20</v>
      </c>
      <c r="DG14" t="s">
        <v>172</v>
      </c>
      <c r="DH14" t="s">
        <v>173</v>
      </c>
      <c r="DI14" t="s">
        <v>52</v>
      </c>
      <c r="DJ14"/>
    </row>
    <row r="15" spans="1:114" ht="16" thickTop="1" x14ac:dyDescent="0.35">
      <c r="A15" t="s">
        <v>249</v>
      </c>
      <c r="B15" t="s">
        <v>202</v>
      </c>
      <c r="D15" s="108">
        <f t="shared" ref="D15:D26" si="1">N15/$V15</f>
        <v>9.6774193548387052E-2</v>
      </c>
      <c r="E15" s="108">
        <f t="shared" ref="E15:E26" si="2">O15/$V15</f>
        <v>0.22580645161290322</v>
      </c>
      <c r="F15" s="108">
        <f t="shared" ref="F15:F26" si="3">P15/$V15</f>
        <v>0</v>
      </c>
      <c r="G15" s="108">
        <f t="shared" ref="G15:G26" si="4">Q15/$V15</f>
        <v>0</v>
      </c>
      <c r="H15" s="108">
        <f t="shared" ref="H15:H26" si="5">R15/$V15</f>
        <v>-0.22580645161290322</v>
      </c>
      <c r="I15" s="108">
        <f t="shared" ref="I15:I26" si="6">S15/$V15</f>
        <v>0.90322580645161288</v>
      </c>
      <c r="J15" s="108">
        <f t="shared" ref="J15:J26" si="7">T15/$V15</f>
        <v>0</v>
      </c>
      <c r="K15" s="108">
        <f t="shared" ref="K15:K26" si="8">U15/$V15</f>
        <v>0.12903225806451615</v>
      </c>
      <c r="L15" s="3">
        <f>SUM(D15:J15)</f>
        <v>0.99999999999999989</v>
      </c>
      <c r="M15" s="107" t="str">
        <f>A15</f>
        <v>Richterite</v>
      </c>
      <c r="N15" s="108">
        <f t="array" ref="N15:U15">MMULT(CQ15:CX15,$U$3:$AB$10)</f>
        <v>1.3392857142857137E-2</v>
      </c>
      <c r="O15" s="108">
        <v>3.125E-2</v>
      </c>
      <c r="P15" s="108">
        <v>0</v>
      </c>
      <c r="Q15" s="108">
        <v>0</v>
      </c>
      <c r="R15" s="108">
        <v>-3.125E-2</v>
      </c>
      <c r="S15" s="108">
        <v>0.125</v>
      </c>
      <c r="T15" s="108">
        <v>0</v>
      </c>
      <c r="U15" s="108">
        <v>1.785714285714286E-2</v>
      </c>
      <c r="V15" s="108">
        <f>SUM(N15:T15)</f>
        <v>0.13839285714285715</v>
      </c>
      <c r="W15" t="str">
        <f>A15</f>
        <v>Richterite</v>
      </c>
      <c r="X15">
        <f t="shared" ref="X15:X26" si="9">O15/(O15+S15+Q15)</f>
        <v>0.2</v>
      </c>
      <c r="Y15">
        <f t="shared" ref="Y15:Y26" si="10">S15/(O15+S15+Q15)</f>
        <v>0.8</v>
      </c>
      <c r="Z15">
        <f t="shared" ref="Z15:Z26" si="11">Q15/(O15+S15+Q15)</f>
        <v>0</v>
      </c>
      <c r="AA15">
        <f>SUM(X15:Z15)</f>
        <v>1</v>
      </c>
      <c r="AB15" s="100">
        <f>Y15/COS(RADIANS(30))+Z15*TAN(RADIANS(30))</f>
        <v>0.92376043070340119</v>
      </c>
      <c r="AC15" s="100">
        <f>Z15</f>
        <v>0</v>
      </c>
      <c r="AD15" t="str">
        <f>A15</f>
        <v>Richterite</v>
      </c>
      <c r="AE15">
        <f t="shared" ref="AE15:AE26" si="12">N15/(R15+N15+Q15)</f>
        <v>-0.74999999999999944</v>
      </c>
      <c r="AF15">
        <f t="shared" ref="AF15:AF26" si="13">R15/(R15+N15+Q15)</f>
        <v>1.7499999999999993</v>
      </c>
      <c r="AG15">
        <f t="shared" ref="AG15:AG26" si="14">Q15/(R15+N15+Q15)</f>
        <v>0</v>
      </c>
      <c r="AH15">
        <f>SUM(AE15:AG15)</f>
        <v>0.99999999999999989</v>
      </c>
      <c r="AI15" s="100">
        <f>AF15/COS(RADIANS(30))+AG15*TAN(RADIANS(30))</f>
        <v>2.0207259421636894</v>
      </c>
      <c r="AJ15" s="100">
        <f>AG15</f>
        <v>0</v>
      </c>
      <c r="AK15" t="str">
        <f>A15</f>
        <v>Richterite</v>
      </c>
      <c r="AL15">
        <f t="shared" ref="AL15:AL26" si="15">O15/(N15+O15+Q15)</f>
        <v>0.70000000000000007</v>
      </c>
      <c r="AM15">
        <f t="shared" ref="AM15:AM26" si="16">N15/(N15+O15+Q15)</f>
        <v>0.29999999999999993</v>
      </c>
      <c r="AN15">
        <f t="shared" ref="AN15:AN26" si="17">Q15/(Q15+O15+N15)</f>
        <v>0</v>
      </c>
      <c r="AO15">
        <f>SUM(AL15:AN15)</f>
        <v>1</v>
      </c>
      <c r="AP15" s="100">
        <f>AM15/COS(RADIANS(30))+AN15*TAN(RADIANS(30))</f>
        <v>0.34641016151377535</v>
      </c>
      <c r="AQ15" s="100">
        <f>AN15</f>
        <v>0</v>
      </c>
      <c r="AS15" t="e">
        <f t="shared" ref="AS15:AS26" si="18">O15/(O15+P15+R15)</f>
        <v>#DIV/0!</v>
      </c>
      <c r="AT15" t="e">
        <f t="shared" ref="AT15:AT26" si="19">P15/(O15+P15+R15)</f>
        <v>#DIV/0!</v>
      </c>
      <c r="AU15" t="e">
        <f t="shared" ref="AU15:AU26" si="20">R15/(R15+P15+O15)</f>
        <v>#DIV/0!</v>
      </c>
      <c r="AV15" t="e">
        <f>SUM(AS15:AU15)</f>
        <v>#DIV/0!</v>
      </c>
      <c r="AW15" s="100" t="e">
        <f>AT15/COS(RADIANS(30))+AU15*TAN(RADIANS(30))</f>
        <v>#DIV/0!</v>
      </c>
      <c r="AX15" s="100" t="e">
        <f>AU15</f>
        <v>#DIV/0!</v>
      </c>
      <c r="AY15" s="107" t="s">
        <v>249</v>
      </c>
      <c r="AZ15" s="100">
        <f>(O15)/(S15+P15+O15)</f>
        <v>0.2</v>
      </c>
      <c r="BA15" s="100">
        <f>P15/(P15+O15+S15)</f>
        <v>0</v>
      </c>
      <c r="BB15" s="100">
        <f>S15/(P15+O15+S15)</f>
        <v>0.8</v>
      </c>
      <c r="BC15" s="100">
        <f>SUM(AZ15:BB15)</f>
        <v>1</v>
      </c>
      <c r="BD15" s="100">
        <f>BA15/COS(RADIANS(30))+BB15*TAN(RADIANS(30))</f>
        <v>0.4618802153517006</v>
      </c>
      <c r="BE15" s="100">
        <f>BB15</f>
        <v>0.8</v>
      </c>
      <c r="BF15" s="130" t="str">
        <f>AY15</f>
        <v>Richterite</v>
      </c>
      <c r="BG15" t="e">
        <f>O15/(O15+P15+R15)</f>
        <v>#DIV/0!</v>
      </c>
      <c r="BH15" s="67" t="e">
        <f>P15/(P15+O15+R15)</f>
        <v>#DIV/0!</v>
      </c>
      <c r="BI15" t="e">
        <f>R15/(R15+P15+O15)</f>
        <v>#DIV/0!</v>
      </c>
      <c r="BJ15" t="e">
        <f>SUM(BG15:BI15)</f>
        <v>#DIV/0!</v>
      </c>
      <c r="BK15" s="100" t="e">
        <f>BH15/COS(RADIANS(30))+BI15*TAN(RADIANS(30))</f>
        <v>#DIV/0!</v>
      </c>
      <c r="BL15" s="100" t="e">
        <f>BI15</f>
        <v>#DIV/0!</v>
      </c>
      <c r="BM15" s="130" t="str">
        <f>BF15</f>
        <v>Richterite</v>
      </c>
      <c r="BN15" t="e">
        <f>O15/(O15+R15+Q15)</f>
        <v>#DIV/0!</v>
      </c>
      <c r="BO15" s="67" t="e">
        <f>Q15/(Q15+R15+O15)</f>
        <v>#DIV/0!</v>
      </c>
      <c r="BP15" t="e">
        <f>R15/(R15+Q15+O15)</f>
        <v>#DIV/0!</v>
      </c>
      <c r="BQ15" t="e">
        <f>SUM(BN15:BP15)</f>
        <v>#DIV/0!</v>
      </c>
      <c r="BR15" s="100" t="e">
        <f>BO15/COS(RADIANS(30))+BP15*TAN(RADIANS(30))</f>
        <v>#DIV/0!</v>
      </c>
      <c r="BS15" s="100" t="e">
        <f>BP15</f>
        <v>#DIV/0!</v>
      </c>
      <c r="BT15" s="130" t="str">
        <f>BM15</f>
        <v>Richterite</v>
      </c>
      <c r="BU15" s="3">
        <f>O15/(O15+S15+R15)</f>
        <v>0.25</v>
      </c>
      <c r="BV15" s="92">
        <f>S15/(O15+S15+R15)</f>
        <v>1</v>
      </c>
      <c r="BW15" s="3">
        <f>R15/(O15+R15+S15)</f>
        <v>-0.25</v>
      </c>
      <c r="BX15">
        <f>SUM(BU15:BW15)</f>
        <v>1</v>
      </c>
      <c r="BY15" s="100">
        <f>BV15/COS(RADIANS(30))+BW15*TAN(RADIANS(30))</f>
        <v>1.0103629710818449</v>
      </c>
      <c r="BZ15" s="100">
        <f>BW15</f>
        <v>-0.25</v>
      </c>
      <c r="CB15" s="103">
        <f>'Amphibole P-T calcs'!EU15</f>
        <v>6.0882528155923099</v>
      </c>
      <c r="CC15" s="103">
        <f>'Amphibole P-T calcs'!EV15</f>
        <v>0.27655609154553207</v>
      </c>
      <c r="CD15" s="103">
        <f>'Amphibole P-T calcs'!EW15</f>
        <v>2.2674233310011225</v>
      </c>
      <c r="CE15" s="103">
        <f>'Amphibole P-T calcs'!EX15</f>
        <v>0</v>
      </c>
      <c r="CF15" s="103">
        <f>'Amphibole P-T calcs'!EY15</f>
        <v>0</v>
      </c>
      <c r="CG15" s="103">
        <f>'Amphibole P-T calcs'!EZ15</f>
        <v>1.6453047680249748</v>
      </c>
      <c r="CH15" s="103">
        <f>'Amphibole P-T calcs'!FA15</f>
        <v>3.3048073324622694E-2</v>
      </c>
      <c r="CI15" s="103">
        <f>'Amphibole P-T calcs'!FB15</f>
        <v>2.9127767566778155</v>
      </c>
      <c r="CJ15" s="103">
        <f>'Amphibole P-T calcs'!FC15</f>
        <v>1.8699953284377322</v>
      </c>
      <c r="CK15" s="103">
        <f>'Amphibole P-T calcs'!FD15</f>
        <v>0.64011424027109087</v>
      </c>
      <c r="CL15" s="103">
        <f>'Amphibole P-T calcs'!FE15</f>
        <v>0.17613028524387678</v>
      </c>
      <c r="CM15">
        <f>CI15+CH15+CG15</f>
        <v>4.5911295980274129</v>
      </c>
      <c r="CN15">
        <f>SUM(CB15:CL15)-CE15-CH15</f>
        <v>15.876553616794453</v>
      </c>
      <c r="CO15">
        <f>SUM(CB15:CI15)</f>
        <v>13.223361836166376</v>
      </c>
      <c r="CQ15">
        <f>DC15/$DJ15</f>
        <v>0.5</v>
      </c>
      <c r="CR15">
        <f>DD15/$DJ15</f>
        <v>0</v>
      </c>
      <c r="CS15">
        <f>DE15/$DJ15</f>
        <v>0</v>
      </c>
      <c r="CT15">
        <f>DF15/$DJ15</f>
        <v>0.3125</v>
      </c>
      <c r="CU15">
        <v>0</v>
      </c>
      <c r="CV15">
        <f>DG15/$DJ15</f>
        <v>6.25E-2</v>
      </c>
      <c r="CW15">
        <f>DH15/$DJ15</f>
        <v>0.125</v>
      </c>
      <c r="CX15">
        <f>DI15/$DJ15</f>
        <v>0</v>
      </c>
      <c r="CY15" s="3">
        <f>SUM(CQ15:CX15)</f>
        <v>1</v>
      </c>
      <c r="DA15" t="s">
        <v>249</v>
      </c>
      <c r="DB15" t="s">
        <v>202</v>
      </c>
      <c r="DC15">
        <v>8</v>
      </c>
      <c r="DD15">
        <v>0</v>
      </c>
      <c r="DE15">
        <v>0</v>
      </c>
      <c r="DF15">
        <v>5</v>
      </c>
      <c r="DG15">
        <v>1</v>
      </c>
      <c r="DH15">
        <v>2</v>
      </c>
      <c r="DI15">
        <v>0</v>
      </c>
      <c r="DJ15">
        <f t="shared" ref="DJ15:DJ26" si="21">SUM(DC15:DI15)</f>
        <v>16</v>
      </c>
    </row>
    <row r="16" spans="1:114" ht="15.5" x14ac:dyDescent="0.35">
      <c r="A16" t="s">
        <v>203</v>
      </c>
      <c r="B16" t="s">
        <v>204</v>
      </c>
      <c r="D16" s="108">
        <f t="shared" si="1"/>
        <v>0.14035087719298239</v>
      </c>
      <c r="E16" s="108">
        <f t="shared" si="2"/>
        <v>0.24561403508771931</v>
      </c>
      <c r="F16" s="108">
        <f t="shared" si="3"/>
        <v>0</v>
      </c>
      <c r="G16" s="108">
        <f t="shared" si="4"/>
        <v>0</v>
      </c>
      <c r="H16" s="108">
        <f t="shared" si="5"/>
        <v>0.12280701754385966</v>
      </c>
      <c r="I16" s="108">
        <f t="shared" si="6"/>
        <v>0.49122807017543862</v>
      </c>
      <c r="J16" s="108">
        <f t="shared" si="7"/>
        <v>0</v>
      </c>
      <c r="K16" s="108">
        <f t="shared" si="8"/>
        <v>0.13729977116704806</v>
      </c>
      <c r="L16" s="3">
        <f t="shared" ref="L16:L26" si="22">SUM(D16:J16)</f>
        <v>1</v>
      </c>
      <c r="M16" s="107" t="str">
        <f t="shared" ref="M16:M26" si="23">A16</f>
        <v>Alumino Winchite</v>
      </c>
      <c r="N16" s="108">
        <f t="array" ref="N16:U16">MMULT(CQ16:CX16,$U$3:$AB$10)</f>
        <v>1.7857142857142849E-2</v>
      </c>
      <c r="O16" s="108">
        <v>3.125E-2</v>
      </c>
      <c r="P16" s="108">
        <v>0</v>
      </c>
      <c r="Q16" s="108">
        <v>0</v>
      </c>
      <c r="R16" s="108">
        <v>1.5625E-2</v>
      </c>
      <c r="S16" s="108">
        <v>6.25E-2</v>
      </c>
      <c r="T16" s="108">
        <v>0</v>
      </c>
      <c r="U16" s="108">
        <v>1.746894409937888E-2</v>
      </c>
      <c r="V16" s="108">
        <f t="shared" ref="V16:V26" si="24">SUM(N16:T16)</f>
        <v>0.12723214285714285</v>
      </c>
      <c r="W16" t="str">
        <f t="shared" ref="W16:W26" si="25">A16</f>
        <v>Alumino Winchite</v>
      </c>
      <c r="X16">
        <f t="shared" si="9"/>
        <v>0.33333333333333331</v>
      </c>
      <c r="Y16">
        <f t="shared" si="10"/>
        <v>0.66666666666666663</v>
      </c>
      <c r="Z16">
        <f t="shared" si="11"/>
        <v>0</v>
      </c>
      <c r="AA16">
        <f t="shared" ref="AA16:AA26" si="26">SUM(X16:Z16)</f>
        <v>1</v>
      </c>
      <c r="AB16" s="100">
        <f t="shared" ref="AB16:AB26" si="27">Y16/COS(RADIANS(30))+Z16*TAN(RADIANS(30))</f>
        <v>0.76980035891950094</v>
      </c>
      <c r="AC16" s="100">
        <f t="shared" ref="AC16:AC26" si="28">Z16</f>
        <v>0</v>
      </c>
      <c r="AD16" t="str">
        <f t="shared" ref="AD16:AD26" si="29">A16</f>
        <v>Alumino Winchite</v>
      </c>
      <c r="AE16">
        <f t="shared" si="12"/>
        <v>0.53333333333333321</v>
      </c>
      <c r="AF16">
        <f t="shared" si="13"/>
        <v>0.46666666666666679</v>
      </c>
      <c r="AG16">
        <f t="shared" si="14"/>
        <v>0</v>
      </c>
      <c r="AH16">
        <f t="shared" ref="AH16:AH26" si="30">SUM(AE16:AG16)</f>
        <v>1</v>
      </c>
      <c r="AI16" s="100">
        <f t="shared" ref="AI16:AI26" si="31">AF16/COS(RADIANS(30))+AG16*TAN(RADIANS(30))</f>
        <v>0.53886025124365078</v>
      </c>
      <c r="AJ16" s="100">
        <f t="shared" ref="AJ16:AJ26" si="32">AG16</f>
        <v>0</v>
      </c>
      <c r="AK16" t="str">
        <f t="shared" ref="AK16:AK26" si="33">A16</f>
        <v>Alumino Winchite</v>
      </c>
      <c r="AL16">
        <f t="shared" si="15"/>
        <v>0.63636363636363646</v>
      </c>
      <c r="AM16">
        <f t="shared" si="16"/>
        <v>0.36363636363636354</v>
      </c>
      <c r="AN16">
        <f t="shared" si="17"/>
        <v>0</v>
      </c>
      <c r="AO16">
        <f t="shared" ref="AO16:AO26" si="34">SUM(AL16:AN16)</f>
        <v>1</v>
      </c>
      <c r="AP16" s="100">
        <f t="shared" ref="AP16:AP26" si="35">AM16/COS(RADIANS(30))+AN16*TAN(RADIANS(30))</f>
        <v>0.41989110486518222</v>
      </c>
      <c r="AQ16" s="100">
        <f t="shared" ref="AQ16:AQ26" si="36">AN16</f>
        <v>0</v>
      </c>
      <c r="AS16">
        <f t="shared" si="18"/>
        <v>0.66666666666666663</v>
      </c>
      <c r="AT16">
        <f t="shared" si="19"/>
        <v>0</v>
      </c>
      <c r="AU16">
        <f t="shared" si="20"/>
        <v>0.33333333333333331</v>
      </c>
      <c r="AV16">
        <f t="shared" ref="AV16:AV26" si="37">SUM(AS16:AU16)</f>
        <v>1</v>
      </c>
      <c r="AW16" s="100">
        <f t="shared" ref="AW16:AW26" si="38">AT16/COS(RADIANS(30))+AU16*TAN(RADIANS(30))</f>
        <v>0.19245008972987523</v>
      </c>
      <c r="AX16" s="100">
        <f t="shared" ref="AX16:AX26" si="39">AU16</f>
        <v>0.33333333333333331</v>
      </c>
      <c r="AY16" s="107" t="s">
        <v>203</v>
      </c>
      <c r="AZ16" s="100">
        <f t="shared" ref="AZ16:AZ26" si="40">(O16)/(S16+P16+O16)</f>
        <v>0.33333333333333331</v>
      </c>
      <c r="BA16" s="100">
        <f t="shared" ref="BA16:BA26" si="41">P16/(P16+O16+S16)</f>
        <v>0</v>
      </c>
      <c r="BB16" s="100">
        <f t="shared" ref="BB16:BB26" si="42">S16/(P16+O16+S16)</f>
        <v>0.66666666666666663</v>
      </c>
      <c r="BC16" s="100">
        <f t="shared" ref="BC16:BC26" si="43">SUM(AZ16:BB16)</f>
        <v>1</v>
      </c>
      <c r="BD16" s="100">
        <f t="shared" ref="BD16:BD26" si="44">BA16/COS(RADIANS(30))+BB16*TAN(RADIANS(30))</f>
        <v>0.38490017945975047</v>
      </c>
      <c r="BE16" s="100">
        <f t="shared" ref="BE16:BE26" si="45">BB16</f>
        <v>0.66666666666666663</v>
      </c>
      <c r="BF16" s="130" t="str">
        <f t="shared" ref="BF16:BF26" si="46">AY16</f>
        <v>Alumino Winchite</v>
      </c>
      <c r="BG16">
        <f t="shared" ref="BG16:BG26" si="47">O16/(O16+P16+R16)</f>
        <v>0.66666666666666663</v>
      </c>
      <c r="BH16" s="67">
        <f t="shared" ref="BH16:BH26" si="48">P16/(P16+O16+R16)</f>
        <v>0</v>
      </c>
      <c r="BI16">
        <f t="shared" ref="BI16:BI26" si="49">R16/(R16+P16+O16)</f>
        <v>0.33333333333333331</v>
      </c>
      <c r="BJ16">
        <f t="shared" ref="BJ16:BJ26" si="50">SUM(BG16:BI16)</f>
        <v>1</v>
      </c>
      <c r="BK16" s="100">
        <f t="shared" ref="BK16:BK26" si="51">BH16/COS(RADIANS(30))+BI16*TAN(RADIANS(30))</f>
        <v>0.19245008972987523</v>
      </c>
      <c r="BL16" s="100">
        <f t="shared" ref="BL16:BL26" si="52">BI16</f>
        <v>0.33333333333333331</v>
      </c>
      <c r="BM16" s="130" t="str">
        <f t="shared" ref="BM16:BM26" si="53">BF16</f>
        <v>Alumino Winchite</v>
      </c>
      <c r="BN16">
        <f t="shared" ref="BN16:BN26" si="54">O16/(O16+R16+Q16)</f>
        <v>0.66666666666666663</v>
      </c>
      <c r="BO16" s="67">
        <f t="shared" ref="BO16:BO26" si="55">Q16/(Q16+R16+O16)</f>
        <v>0</v>
      </c>
      <c r="BP16">
        <f t="shared" ref="BP16:BP26" si="56">R16/(R16+Q16+O16)</f>
        <v>0.33333333333333331</v>
      </c>
      <c r="BQ16">
        <f t="shared" ref="BQ16:BQ26" si="57">SUM(BN16:BP16)</f>
        <v>1</v>
      </c>
      <c r="BR16" s="100">
        <f t="shared" ref="BR16:BR26" si="58">BO16/COS(RADIANS(30))+BP16*TAN(RADIANS(30))</f>
        <v>0.19245008972987523</v>
      </c>
      <c r="BS16" s="100">
        <f t="shared" ref="BS16:BS26" si="59">BP16</f>
        <v>0.33333333333333331</v>
      </c>
      <c r="BT16" s="130" t="str">
        <f t="shared" ref="BT16:BT26" si="60">BM16</f>
        <v>Alumino Winchite</v>
      </c>
      <c r="BU16" s="3">
        <f t="shared" ref="BU16:BU26" si="61">O16/(O16+S16+R16)</f>
        <v>0.2857142857142857</v>
      </c>
      <c r="BV16" s="92">
        <f t="shared" ref="BV16:BV26" si="62">S16/(O16+S16+R16)</f>
        <v>0.5714285714285714</v>
      </c>
      <c r="BW16" s="3">
        <f t="shared" ref="BW16:BW26" si="63">R16/(O16+R16+S16)</f>
        <v>0.14285714285714285</v>
      </c>
      <c r="BX16">
        <f t="shared" ref="BX16:BX26" si="64">SUM(BU16:BW16)</f>
        <v>1</v>
      </c>
      <c r="BY16" s="100">
        <f t="shared" ref="BY16:BY26" si="65">BV16/COS(RADIANS(30))+BW16*TAN(RADIANS(30))</f>
        <v>0.74230748895809018</v>
      </c>
      <c r="BZ16" s="100">
        <f t="shared" ref="BZ16:BZ26" si="66">BW16</f>
        <v>0.14285714285714285</v>
      </c>
      <c r="CB16" s="103">
        <f>'Amphibole P-T calcs'!EU16</f>
        <v>6.3995081510125091</v>
      </c>
      <c r="CC16" s="103">
        <f>'Amphibole P-T calcs'!EV16</f>
        <v>0.22939656592539218</v>
      </c>
      <c r="CD16" s="103">
        <f>'Amphibole P-T calcs'!EW16</f>
        <v>2.0648107842506862</v>
      </c>
      <c r="CE16" s="103">
        <f>'Amphibole P-T calcs'!EX16</f>
        <v>0</v>
      </c>
      <c r="CF16" s="103">
        <f>'Amphibole P-T calcs'!EY16</f>
        <v>0</v>
      </c>
      <c r="CG16" s="103">
        <f>'Amphibole P-T calcs'!EZ16</f>
        <v>1.6075849560723514</v>
      </c>
      <c r="CH16" s="103">
        <f>'Amphibole P-T calcs'!FA16</f>
        <v>0</v>
      </c>
      <c r="CI16" s="103">
        <f>'Amphibole P-T calcs'!FB16</f>
        <v>2.737502732977712</v>
      </c>
      <c r="CJ16" s="103">
        <f>'Amphibole P-T calcs'!FC16</f>
        <v>1.9014724933755969</v>
      </c>
      <c r="CK16" s="103">
        <f>'Amphibole P-T calcs'!FD16</f>
        <v>0.64161852399960684</v>
      </c>
      <c r="CL16" s="103">
        <f>'Amphibole P-T calcs'!FE16</f>
        <v>0.15520989064540971</v>
      </c>
      <c r="CM16">
        <f t="shared" ref="CM16:CM26" si="67">CI16+CH16+CG16</f>
        <v>4.3450876890500636</v>
      </c>
      <c r="CN16">
        <f t="shared" ref="CN16:CN26" si="68">SUM(CB16:CL16)-CE16-CH16</f>
        <v>15.737104098259264</v>
      </c>
      <c r="CO16">
        <f t="shared" ref="CO16:CO26" si="69">SUM(CB16:CI16)</f>
        <v>13.038803190238651</v>
      </c>
      <c r="CQ16">
        <f t="shared" ref="CQ16:CQ26" si="70">DC16/$DJ16</f>
        <v>0.5</v>
      </c>
      <c r="CR16">
        <f t="shared" ref="CR16:CR26" si="71">DD16/$DJ16</f>
        <v>0</v>
      </c>
      <c r="CS16">
        <f t="shared" ref="CS16:CS26" si="72">DE16/$DJ16</f>
        <v>0.125</v>
      </c>
      <c r="CT16">
        <f t="shared" ref="CT16:CT26" si="73">DF16/$DJ16</f>
        <v>0.25</v>
      </c>
      <c r="CU16">
        <v>0</v>
      </c>
      <c r="CV16">
        <f t="shared" ref="CV16:CX26" si="74">DG16/$DJ16</f>
        <v>6.25E-2</v>
      </c>
      <c r="CW16">
        <f t="shared" si="74"/>
        <v>6.25E-2</v>
      </c>
      <c r="CX16">
        <f t="shared" si="74"/>
        <v>0</v>
      </c>
      <c r="CY16" s="3">
        <f t="shared" ref="CY16:CY26" si="75">SUM(CQ16:CX16)</f>
        <v>1</v>
      </c>
      <c r="DA16" t="s">
        <v>203</v>
      </c>
      <c r="DB16" t="s">
        <v>204</v>
      </c>
      <c r="DC16">
        <v>8</v>
      </c>
      <c r="DD16">
        <v>0</v>
      </c>
      <c r="DE16">
        <v>2</v>
      </c>
      <c r="DF16">
        <v>4</v>
      </c>
      <c r="DG16">
        <v>1</v>
      </c>
      <c r="DH16">
        <v>1</v>
      </c>
      <c r="DI16">
        <v>0</v>
      </c>
      <c r="DJ16">
        <f t="shared" si="21"/>
        <v>16</v>
      </c>
    </row>
    <row r="17" spans="1:114" ht="15.5" x14ac:dyDescent="0.35">
      <c r="A17" t="s">
        <v>192</v>
      </c>
      <c r="B17" t="s">
        <v>195</v>
      </c>
      <c r="D17" s="108">
        <f t="shared" si="1"/>
        <v>-4.6259292692714858E-17</v>
      </c>
      <c r="E17" s="108">
        <f t="shared" si="2"/>
        <v>0.33333333333333331</v>
      </c>
      <c r="F17" s="108">
        <f t="shared" si="3"/>
        <v>0</v>
      </c>
      <c r="G17" s="108">
        <f t="shared" si="4"/>
        <v>0.33333333333333331</v>
      </c>
      <c r="H17" s="108">
        <f t="shared" si="5"/>
        <v>0</v>
      </c>
      <c r="I17" s="108">
        <f t="shared" si="6"/>
        <v>0.33333333333333331</v>
      </c>
      <c r="J17" s="108">
        <f t="shared" si="7"/>
        <v>0</v>
      </c>
      <c r="K17" s="108">
        <f t="shared" si="8"/>
        <v>3.2381504884900401E-17</v>
      </c>
      <c r="L17" s="3">
        <f t="shared" si="22"/>
        <v>0.99999999999999978</v>
      </c>
      <c r="M17" s="107" t="str">
        <f t="shared" si="23"/>
        <v>Edenite</v>
      </c>
      <c r="N17" s="108">
        <f t="array" ref="N17:U17">MMULT(CQ17:CX17,$U$3:$AB$10)</f>
        <v>-8.6736173798840355E-18</v>
      </c>
      <c r="O17" s="108">
        <v>6.25E-2</v>
      </c>
      <c r="P17" s="108">
        <v>0</v>
      </c>
      <c r="Q17" s="108">
        <v>6.25E-2</v>
      </c>
      <c r="R17" s="108">
        <v>0</v>
      </c>
      <c r="S17" s="108">
        <v>6.25E-2</v>
      </c>
      <c r="T17" s="108">
        <v>0</v>
      </c>
      <c r="U17" s="108">
        <v>6.0715321659188248E-18</v>
      </c>
      <c r="V17" s="108">
        <f t="shared" si="24"/>
        <v>0.1875</v>
      </c>
      <c r="W17" t="str">
        <f t="shared" si="25"/>
        <v>Edenite</v>
      </c>
      <c r="X17">
        <f t="shared" si="9"/>
        <v>0.33333333333333331</v>
      </c>
      <c r="Y17">
        <f t="shared" si="10"/>
        <v>0.33333333333333331</v>
      </c>
      <c r="Z17">
        <f t="shared" si="11"/>
        <v>0.33333333333333331</v>
      </c>
      <c r="AA17">
        <f t="shared" si="26"/>
        <v>1</v>
      </c>
      <c r="AB17" s="100">
        <f t="shared" si="27"/>
        <v>0.57735026918962573</v>
      </c>
      <c r="AC17" s="100">
        <f t="shared" si="28"/>
        <v>0.33333333333333331</v>
      </c>
      <c r="AD17" t="str">
        <f t="shared" si="29"/>
        <v>Edenite</v>
      </c>
      <c r="AE17">
        <f t="shared" si="12"/>
        <v>-1.3877787807814459E-16</v>
      </c>
      <c r="AF17">
        <f t="shared" si="13"/>
        <v>0</v>
      </c>
      <c r="AG17">
        <f t="shared" si="14"/>
        <v>1</v>
      </c>
      <c r="AH17">
        <f t="shared" si="30"/>
        <v>0.99999999999999989</v>
      </c>
      <c r="AI17" s="100">
        <f t="shared" si="31"/>
        <v>0.57735026918962573</v>
      </c>
      <c r="AJ17" s="100">
        <f t="shared" si="32"/>
        <v>1</v>
      </c>
      <c r="AK17" t="str">
        <f t="shared" si="33"/>
        <v>Edenite</v>
      </c>
      <c r="AL17">
        <f t="shared" si="15"/>
        <v>0.5</v>
      </c>
      <c r="AM17">
        <f t="shared" si="16"/>
        <v>-6.9388939039072284E-17</v>
      </c>
      <c r="AN17">
        <f t="shared" si="17"/>
        <v>0.5</v>
      </c>
      <c r="AO17">
        <f t="shared" si="34"/>
        <v>1</v>
      </c>
      <c r="AP17" s="100">
        <f t="shared" si="35"/>
        <v>0.28867513459481281</v>
      </c>
      <c r="AQ17" s="100">
        <f t="shared" si="36"/>
        <v>0.5</v>
      </c>
      <c r="AS17">
        <f t="shared" si="18"/>
        <v>1</v>
      </c>
      <c r="AT17">
        <f t="shared" si="19"/>
        <v>0</v>
      </c>
      <c r="AU17">
        <f t="shared" si="20"/>
        <v>0</v>
      </c>
      <c r="AV17">
        <f t="shared" si="37"/>
        <v>1</v>
      </c>
      <c r="AW17" s="100">
        <f t="shared" si="38"/>
        <v>0</v>
      </c>
      <c r="AX17" s="100">
        <f t="shared" si="39"/>
        <v>0</v>
      </c>
      <c r="AY17" s="107" t="s">
        <v>192</v>
      </c>
      <c r="AZ17" s="100">
        <f t="shared" si="40"/>
        <v>0.5</v>
      </c>
      <c r="BA17" s="100">
        <f t="shared" si="41"/>
        <v>0</v>
      </c>
      <c r="BB17" s="100">
        <f t="shared" si="42"/>
        <v>0.5</v>
      </c>
      <c r="BC17" s="100">
        <f t="shared" si="43"/>
        <v>1</v>
      </c>
      <c r="BD17" s="100">
        <f t="shared" si="44"/>
        <v>0.28867513459481287</v>
      </c>
      <c r="BE17" s="100">
        <f t="shared" si="45"/>
        <v>0.5</v>
      </c>
      <c r="BF17" s="130" t="str">
        <f t="shared" si="46"/>
        <v>Edenite</v>
      </c>
      <c r="BG17">
        <f t="shared" si="47"/>
        <v>1</v>
      </c>
      <c r="BH17" s="67">
        <f t="shared" si="48"/>
        <v>0</v>
      </c>
      <c r="BI17">
        <f t="shared" si="49"/>
        <v>0</v>
      </c>
      <c r="BJ17">
        <f t="shared" si="50"/>
        <v>1</v>
      </c>
      <c r="BK17" s="100">
        <f t="shared" si="51"/>
        <v>0</v>
      </c>
      <c r="BL17" s="100">
        <f t="shared" si="52"/>
        <v>0</v>
      </c>
      <c r="BM17" s="130" t="str">
        <f t="shared" si="53"/>
        <v>Edenite</v>
      </c>
      <c r="BN17">
        <f t="shared" si="54"/>
        <v>0.5</v>
      </c>
      <c r="BO17" s="67">
        <f t="shared" si="55"/>
        <v>0.5</v>
      </c>
      <c r="BP17">
        <f t="shared" si="56"/>
        <v>0</v>
      </c>
      <c r="BQ17">
        <f t="shared" si="57"/>
        <v>1</v>
      </c>
      <c r="BR17" s="100">
        <f t="shared" si="58"/>
        <v>0.57735026918962573</v>
      </c>
      <c r="BS17" s="100">
        <f t="shared" si="59"/>
        <v>0</v>
      </c>
      <c r="BT17" s="130" t="str">
        <f t="shared" si="60"/>
        <v>Edenite</v>
      </c>
      <c r="BU17" s="3">
        <f t="shared" si="61"/>
        <v>0.5</v>
      </c>
      <c r="BV17" s="92">
        <f t="shared" si="62"/>
        <v>0.5</v>
      </c>
      <c r="BW17" s="3">
        <f t="shared" si="63"/>
        <v>0</v>
      </c>
      <c r="BX17">
        <f t="shared" si="64"/>
        <v>1</v>
      </c>
      <c r="BY17" s="100">
        <f t="shared" si="65"/>
        <v>0.57735026918962573</v>
      </c>
      <c r="BZ17" s="100">
        <f t="shared" si="66"/>
        <v>0</v>
      </c>
      <c r="CB17" s="103">
        <f>'Amphibole P-T calcs'!EU17</f>
        <v>5.8910518769630125</v>
      </c>
      <c r="CC17" s="103">
        <f>'Amphibole P-T calcs'!EV17</f>
        <v>0.35755564850025134</v>
      </c>
      <c r="CD17" s="103">
        <f>'Amphibole P-T calcs'!EW17</f>
        <v>2.3121882679148849</v>
      </c>
      <c r="CE17" s="103">
        <f>'Amphibole P-T calcs'!EX17</f>
        <v>3.2587134263271848E-3</v>
      </c>
      <c r="CF17" s="103">
        <f>'Amphibole P-T calcs'!EY17</f>
        <v>0</v>
      </c>
      <c r="CG17" s="103">
        <f>'Amphibole P-T calcs'!EZ17</f>
        <v>1.8371411636949602</v>
      </c>
      <c r="CH17" s="103">
        <f>'Amphibole P-T calcs'!FA17</f>
        <v>6.2837219171919492E-2</v>
      </c>
      <c r="CI17" s="103">
        <f>'Amphibole P-T calcs'!FB17</f>
        <v>2.9185119802591424</v>
      </c>
      <c r="CJ17" s="103">
        <f>'Amphibole P-T calcs'!FC17</f>
        <v>1.7840779539066118</v>
      </c>
      <c r="CK17" s="103">
        <f>'Amphibole P-T calcs'!FD17</f>
        <v>0.64727894678789633</v>
      </c>
      <c r="CL17" s="103">
        <f>'Amphibole P-T calcs'!FE17</f>
        <v>0.20681337327013513</v>
      </c>
      <c r="CM17">
        <f t="shared" si="67"/>
        <v>4.8184903631260223</v>
      </c>
      <c r="CN17">
        <f t="shared" si="68"/>
        <v>15.954619211296892</v>
      </c>
      <c r="CO17">
        <f t="shared" si="69"/>
        <v>13.382544869930497</v>
      </c>
      <c r="CQ17">
        <f t="shared" si="70"/>
        <v>0.4375</v>
      </c>
      <c r="CR17">
        <f t="shared" si="71"/>
        <v>0</v>
      </c>
      <c r="CS17">
        <f t="shared" si="72"/>
        <v>6.25E-2</v>
      </c>
      <c r="CT17">
        <f t="shared" si="73"/>
        <v>0.3125</v>
      </c>
      <c r="CU17">
        <v>0</v>
      </c>
      <c r="CV17">
        <f t="shared" si="74"/>
        <v>0.125</v>
      </c>
      <c r="CW17">
        <f t="shared" si="74"/>
        <v>0</v>
      </c>
      <c r="CX17">
        <f t="shared" si="74"/>
        <v>6.25E-2</v>
      </c>
      <c r="CY17" s="3">
        <f t="shared" si="75"/>
        <v>1</v>
      </c>
      <c r="DA17" t="s">
        <v>192</v>
      </c>
      <c r="DB17" t="s">
        <v>195</v>
      </c>
      <c r="DC17">
        <v>7</v>
      </c>
      <c r="DD17">
        <v>0</v>
      </c>
      <c r="DE17">
        <v>1</v>
      </c>
      <c r="DF17">
        <v>5</v>
      </c>
      <c r="DG17">
        <v>2</v>
      </c>
      <c r="DH17">
        <v>0</v>
      </c>
      <c r="DI17">
        <v>1</v>
      </c>
      <c r="DJ17">
        <f t="shared" si="21"/>
        <v>16</v>
      </c>
    </row>
    <row r="18" spans="1:114" ht="15.5" x14ac:dyDescent="0.35">
      <c r="A18" t="s">
        <v>191</v>
      </c>
      <c r="B18" t="s">
        <v>205</v>
      </c>
      <c r="D18" s="108">
        <f t="shared" si="1"/>
        <v>0</v>
      </c>
      <c r="E18" s="108">
        <f t="shared" si="2"/>
        <v>1</v>
      </c>
      <c r="F18" s="108">
        <f t="shared" si="3"/>
        <v>0</v>
      </c>
      <c r="G18" s="108">
        <f t="shared" si="4"/>
        <v>0</v>
      </c>
      <c r="H18" s="108">
        <f t="shared" si="5"/>
        <v>0</v>
      </c>
      <c r="I18" s="108">
        <f t="shared" si="6"/>
        <v>0</v>
      </c>
      <c r="J18" s="108">
        <f t="shared" si="7"/>
        <v>0</v>
      </c>
      <c r="K18" s="108">
        <f t="shared" si="8"/>
        <v>1.0408340855860843E-16</v>
      </c>
      <c r="L18" s="3">
        <f t="shared" si="22"/>
        <v>1</v>
      </c>
      <c r="M18" s="107" t="str">
        <f t="shared" si="23"/>
        <v>Tremolite</v>
      </c>
      <c r="N18" s="108">
        <f t="array" ref="N18:U18">MMULT(CQ18:CX18,$U$3:$AB$10)</f>
        <v>0</v>
      </c>
      <c r="O18" s="108">
        <v>6.6666666666666666E-2</v>
      </c>
      <c r="P18" s="108">
        <v>0</v>
      </c>
      <c r="Q18" s="108">
        <v>0</v>
      </c>
      <c r="R18" s="108">
        <v>0</v>
      </c>
      <c r="S18" s="108">
        <v>0</v>
      </c>
      <c r="T18" s="108">
        <v>0</v>
      </c>
      <c r="U18" s="108">
        <v>6.9388939039072284E-18</v>
      </c>
      <c r="V18" s="108">
        <f t="shared" si="24"/>
        <v>6.6666666666666666E-2</v>
      </c>
      <c r="W18" t="str">
        <f t="shared" si="25"/>
        <v>Tremolite</v>
      </c>
      <c r="X18">
        <f t="shared" si="9"/>
        <v>1</v>
      </c>
      <c r="Y18">
        <f t="shared" si="10"/>
        <v>0</v>
      </c>
      <c r="Z18">
        <f t="shared" si="11"/>
        <v>0</v>
      </c>
      <c r="AA18">
        <f t="shared" si="26"/>
        <v>1</v>
      </c>
      <c r="AB18" s="100">
        <f t="shared" si="27"/>
        <v>0</v>
      </c>
      <c r="AC18" s="100">
        <f t="shared" si="28"/>
        <v>0</v>
      </c>
      <c r="AD18" t="str">
        <f t="shared" si="29"/>
        <v>Tremolite</v>
      </c>
      <c r="AE18" t="e">
        <f t="shared" si="12"/>
        <v>#DIV/0!</v>
      </c>
      <c r="AF18" t="e">
        <f t="shared" si="13"/>
        <v>#DIV/0!</v>
      </c>
      <c r="AG18" t="e">
        <f t="shared" si="14"/>
        <v>#DIV/0!</v>
      </c>
      <c r="AH18" t="e">
        <f t="shared" si="30"/>
        <v>#DIV/0!</v>
      </c>
      <c r="AI18" s="100" t="e">
        <f t="shared" si="31"/>
        <v>#DIV/0!</v>
      </c>
      <c r="AJ18" s="100" t="e">
        <f t="shared" si="32"/>
        <v>#DIV/0!</v>
      </c>
      <c r="AK18" t="str">
        <f t="shared" si="33"/>
        <v>Tremolite</v>
      </c>
      <c r="AL18">
        <f t="shared" si="15"/>
        <v>1</v>
      </c>
      <c r="AM18">
        <f t="shared" si="16"/>
        <v>0</v>
      </c>
      <c r="AN18">
        <f t="shared" si="17"/>
        <v>0</v>
      </c>
      <c r="AO18">
        <f t="shared" si="34"/>
        <v>1</v>
      </c>
      <c r="AP18" s="100">
        <f t="shared" si="35"/>
        <v>0</v>
      </c>
      <c r="AQ18" s="100">
        <f t="shared" si="36"/>
        <v>0</v>
      </c>
      <c r="AS18">
        <f t="shared" si="18"/>
        <v>1</v>
      </c>
      <c r="AT18">
        <f t="shared" si="19"/>
        <v>0</v>
      </c>
      <c r="AU18">
        <f t="shared" si="20"/>
        <v>0</v>
      </c>
      <c r="AV18">
        <f t="shared" si="37"/>
        <v>1</v>
      </c>
      <c r="AW18" s="100">
        <f t="shared" si="38"/>
        <v>0</v>
      </c>
      <c r="AX18" s="100">
        <f t="shared" si="39"/>
        <v>0</v>
      </c>
      <c r="AY18" s="107" t="s">
        <v>191</v>
      </c>
      <c r="AZ18" s="100">
        <f t="shared" si="40"/>
        <v>1</v>
      </c>
      <c r="BA18" s="100">
        <f t="shared" si="41"/>
        <v>0</v>
      </c>
      <c r="BB18" s="100">
        <f t="shared" si="42"/>
        <v>0</v>
      </c>
      <c r="BC18" s="100">
        <f t="shared" si="43"/>
        <v>1</v>
      </c>
      <c r="BD18" s="100">
        <f t="shared" si="44"/>
        <v>0</v>
      </c>
      <c r="BE18" s="100">
        <f t="shared" si="45"/>
        <v>0</v>
      </c>
      <c r="BF18" s="130" t="str">
        <f t="shared" si="46"/>
        <v>Tremolite</v>
      </c>
      <c r="BG18">
        <f t="shared" si="47"/>
        <v>1</v>
      </c>
      <c r="BH18" s="67">
        <f t="shared" si="48"/>
        <v>0</v>
      </c>
      <c r="BI18">
        <f t="shared" si="49"/>
        <v>0</v>
      </c>
      <c r="BJ18">
        <f t="shared" si="50"/>
        <v>1</v>
      </c>
      <c r="BK18" s="100">
        <f t="shared" si="51"/>
        <v>0</v>
      </c>
      <c r="BL18" s="100">
        <f t="shared" si="52"/>
        <v>0</v>
      </c>
      <c r="BM18" s="130" t="str">
        <f t="shared" si="53"/>
        <v>Tremolite</v>
      </c>
      <c r="BN18">
        <f t="shared" si="54"/>
        <v>1</v>
      </c>
      <c r="BO18" s="67">
        <f t="shared" si="55"/>
        <v>0</v>
      </c>
      <c r="BP18">
        <f t="shared" si="56"/>
        <v>0</v>
      </c>
      <c r="BQ18">
        <f t="shared" si="57"/>
        <v>1</v>
      </c>
      <c r="BR18" s="100">
        <f t="shared" si="58"/>
        <v>0</v>
      </c>
      <c r="BS18" s="100">
        <f t="shared" si="59"/>
        <v>0</v>
      </c>
      <c r="BT18" s="130" t="str">
        <f t="shared" si="60"/>
        <v>Tremolite</v>
      </c>
      <c r="BU18" s="3">
        <f t="shared" si="61"/>
        <v>1</v>
      </c>
      <c r="BV18" s="92">
        <f t="shared" si="62"/>
        <v>0</v>
      </c>
      <c r="BW18" s="3">
        <f t="shared" si="63"/>
        <v>0</v>
      </c>
      <c r="BX18">
        <f t="shared" si="64"/>
        <v>1</v>
      </c>
      <c r="BY18" s="100">
        <f t="shared" si="65"/>
        <v>0</v>
      </c>
      <c r="BZ18" s="100">
        <f t="shared" si="66"/>
        <v>0</v>
      </c>
      <c r="CB18" s="103">
        <f>'Amphibole P-T calcs'!EU18</f>
        <v>6.2893125722831646</v>
      </c>
      <c r="CC18" s="103">
        <f>'Amphibole P-T calcs'!EV18</f>
        <v>0.30828535631772175</v>
      </c>
      <c r="CD18" s="103">
        <f>'Amphibole P-T calcs'!EW18</f>
        <v>1.9497127080109993</v>
      </c>
      <c r="CE18" s="103">
        <f>'Amphibole P-T calcs'!EX18</f>
        <v>1.1783588639318824E-3</v>
      </c>
      <c r="CF18" s="103">
        <f>'Amphibole P-T calcs'!EY18</f>
        <v>0</v>
      </c>
      <c r="CG18" s="103">
        <f>'Amphibole P-T calcs'!EZ18</f>
        <v>1.6327437047268496</v>
      </c>
      <c r="CH18" s="103">
        <f>'Amphibole P-T calcs'!FA18</f>
        <v>4.9231204600159513E-2</v>
      </c>
      <c r="CI18" s="103">
        <f>'Amphibole P-T calcs'!FB18</f>
        <v>3.0104995668340657</v>
      </c>
      <c r="CJ18" s="103">
        <f>'Amphibole P-T calcs'!FC18</f>
        <v>1.7677118996566668</v>
      </c>
      <c r="CK18" s="103">
        <f>'Amphibole P-T calcs'!FD18</f>
        <v>0.65593940702607689</v>
      </c>
      <c r="CL18" s="103">
        <f>'Amphibole P-T calcs'!FE18</f>
        <v>0.18062292631009563</v>
      </c>
      <c r="CM18">
        <f t="shared" si="67"/>
        <v>4.6924744761610748</v>
      </c>
      <c r="CN18">
        <f t="shared" si="68"/>
        <v>15.79482814116564</v>
      </c>
      <c r="CO18">
        <f t="shared" si="69"/>
        <v>13.240963471636892</v>
      </c>
      <c r="CQ18">
        <f t="shared" si="70"/>
        <v>0.53333333333333333</v>
      </c>
      <c r="CR18">
        <f t="shared" si="71"/>
        <v>0</v>
      </c>
      <c r="CS18">
        <f t="shared" si="72"/>
        <v>0</v>
      </c>
      <c r="CT18">
        <f t="shared" si="73"/>
        <v>0.33333333333333331</v>
      </c>
      <c r="CU18">
        <v>0</v>
      </c>
      <c r="CV18">
        <f t="shared" si="74"/>
        <v>0.13333333333333333</v>
      </c>
      <c r="CW18">
        <f t="shared" si="74"/>
        <v>0</v>
      </c>
      <c r="CX18">
        <f t="shared" si="74"/>
        <v>0</v>
      </c>
      <c r="CY18" s="3">
        <f t="shared" si="75"/>
        <v>1</v>
      </c>
      <c r="DA18" t="s">
        <v>191</v>
      </c>
      <c r="DB18" t="s">
        <v>205</v>
      </c>
      <c r="DC18">
        <v>8</v>
      </c>
      <c r="DD18">
        <v>0</v>
      </c>
      <c r="DE18">
        <v>0</v>
      </c>
      <c r="DF18">
        <v>5</v>
      </c>
      <c r="DG18">
        <v>2</v>
      </c>
      <c r="DH18">
        <v>0</v>
      </c>
      <c r="DI18">
        <v>0</v>
      </c>
      <c r="DJ18">
        <f t="shared" si="21"/>
        <v>15</v>
      </c>
    </row>
    <row r="19" spans="1:114" ht="15.5" x14ac:dyDescent="0.35">
      <c r="A19" t="s">
        <v>250</v>
      </c>
      <c r="B19" t="s">
        <v>206</v>
      </c>
      <c r="D19" s="108">
        <f t="shared" si="1"/>
        <v>-1.1102230246251566E-17</v>
      </c>
      <c r="E19" s="108">
        <f t="shared" si="2"/>
        <v>0.4</v>
      </c>
      <c r="F19" s="108">
        <f t="shared" si="3"/>
        <v>0</v>
      </c>
      <c r="G19" s="108">
        <f t="shared" si="4"/>
        <v>0</v>
      </c>
      <c r="H19" s="108">
        <f t="shared" si="5"/>
        <v>0.2</v>
      </c>
      <c r="I19" s="108">
        <f t="shared" si="6"/>
        <v>0.4</v>
      </c>
      <c r="J19" s="108">
        <f t="shared" si="7"/>
        <v>0</v>
      </c>
      <c r="K19" s="108">
        <f t="shared" si="8"/>
        <v>-5.551115123125783E-18</v>
      </c>
      <c r="L19" s="3">
        <f t="shared" si="22"/>
        <v>1</v>
      </c>
      <c r="M19" s="107" t="str">
        <f t="shared" si="23"/>
        <v>Pargasite</v>
      </c>
      <c r="N19" s="108">
        <f t="array" ref="N19:U19">MMULT(CQ19:CX19,$U$3:$AB$10)</f>
        <v>-1.7347234759768071E-18</v>
      </c>
      <c r="O19" s="108">
        <v>6.25E-2</v>
      </c>
      <c r="P19" s="108">
        <v>0</v>
      </c>
      <c r="Q19" s="108">
        <v>0</v>
      </c>
      <c r="R19" s="108">
        <v>3.125E-2</v>
      </c>
      <c r="S19" s="108">
        <v>6.25E-2</v>
      </c>
      <c r="T19" s="108">
        <v>0</v>
      </c>
      <c r="U19" s="108">
        <v>-8.6736173798840355E-19</v>
      </c>
      <c r="V19" s="108">
        <f t="shared" si="24"/>
        <v>0.15625</v>
      </c>
      <c r="W19" t="str">
        <f t="shared" si="25"/>
        <v>Pargasite</v>
      </c>
      <c r="X19">
        <f t="shared" si="9"/>
        <v>0.5</v>
      </c>
      <c r="Y19">
        <f t="shared" si="10"/>
        <v>0.5</v>
      </c>
      <c r="Z19">
        <f t="shared" si="11"/>
        <v>0</v>
      </c>
      <c r="AA19">
        <f t="shared" si="26"/>
        <v>1</v>
      </c>
      <c r="AB19" s="100">
        <f t="shared" si="27"/>
        <v>0.57735026918962573</v>
      </c>
      <c r="AC19" s="100">
        <f t="shared" si="28"/>
        <v>0</v>
      </c>
      <c r="AD19" t="str">
        <f t="shared" si="29"/>
        <v>Pargasite</v>
      </c>
      <c r="AE19">
        <f t="shared" si="12"/>
        <v>-5.5511151231257827E-17</v>
      </c>
      <c r="AF19">
        <f t="shared" si="13"/>
        <v>1</v>
      </c>
      <c r="AG19">
        <f t="shared" si="14"/>
        <v>0</v>
      </c>
      <c r="AH19">
        <f t="shared" si="30"/>
        <v>1</v>
      </c>
      <c r="AI19" s="100">
        <f t="shared" si="31"/>
        <v>1.1547005383792515</v>
      </c>
      <c r="AJ19" s="100">
        <f t="shared" si="32"/>
        <v>0</v>
      </c>
      <c r="AK19" t="str">
        <f t="shared" si="33"/>
        <v>Pargasite</v>
      </c>
      <c r="AL19">
        <f t="shared" si="15"/>
        <v>1</v>
      </c>
      <c r="AM19">
        <f t="shared" si="16"/>
        <v>-2.7755575615628914E-17</v>
      </c>
      <c r="AN19">
        <f t="shared" si="17"/>
        <v>0</v>
      </c>
      <c r="AO19">
        <f t="shared" si="34"/>
        <v>1</v>
      </c>
      <c r="AP19" s="100">
        <f t="shared" si="35"/>
        <v>-3.204937810639273E-17</v>
      </c>
      <c r="AQ19" s="100">
        <f t="shared" si="36"/>
        <v>0</v>
      </c>
      <c r="AS19">
        <f t="shared" si="18"/>
        <v>0.66666666666666663</v>
      </c>
      <c r="AT19">
        <f t="shared" si="19"/>
        <v>0</v>
      </c>
      <c r="AU19">
        <f t="shared" si="20"/>
        <v>0.33333333333333331</v>
      </c>
      <c r="AV19">
        <f t="shared" si="37"/>
        <v>1</v>
      </c>
      <c r="AW19" s="100">
        <f t="shared" si="38"/>
        <v>0.19245008972987523</v>
      </c>
      <c r="AX19" s="100">
        <f t="shared" si="39"/>
        <v>0.33333333333333331</v>
      </c>
      <c r="AY19" s="107" t="s">
        <v>250</v>
      </c>
      <c r="AZ19" s="100">
        <f t="shared" si="40"/>
        <v>0.5</v>
      </c>
      <c r="BA19" s="100">
        <f t="shared" si="41"/>
        <v>0</v>
      </c>
      <c r="BB19" s="100">
        <f t="shared" si="42"/>
        <v>0.5</v>
      </c>
      <c r="BC19" s="100">
        <f t="shared" si="43"/>
        <v>1</v>
      </c>
      <c r="BD19" s="100">
        <f t="shared" si="44"/>
        <v>0.28867513459481287</v>
      </c>
      <c r="BE19" s="100">
        <f t="shared" si="45"/>
        <v>0.5</v>
      </c>
      <c r="BF19" s="130" t="str">
        <f t="shared" si="46"/>
        <v>Pargasite</v>
      </c>
      <c r="BG19">
        <f t="shared" si="47"/>
        <v>0.66666666666666663</v>
      </c>
      <c r="BH19" s="67">
        <f t="shared" si="48"/>
        <v>0</v>
      </c>
      <c r="BI19">
        <f t="shared" si="49"/>
        <v>0.33333333333333331</v>
      </c>
      <c r="BJ19">
        <f t="shared" si="50"/>
        <v>1</v>
      </c>
      <c r="BK19" s="100">
        <f t="shared" si="51"/>
        <v>0.19245008972987523</v>
      </c>
      <c r="BL19" s="100">
        <f t="shared" si="52"/>
        <v>0.33333333333333331</v>
      </c>
      <c r="BM19" s="130" t="str">
        <f t="shared" si="53"/>
        <v>Pargasite</v>
      </c>
      <c r="BN19">
        <f t="shared" si="54"/>
        <v>0.66666666666666663</v>
      </c>
      <c r="BO19" s="67">
        <f t="shared" si="55"/>
        <v>0</v>
      </c>
      <c r="BP19">
        <f t="shared" si="56"/>
        <v>0.33333333333333331</v>
      </c>
      <c r="BQ19">
        <f t="shared" si="57"/>
        <v>1</v>
      </c>
      <c r="BR19" s="100">
        <f t="shared" si="58"/>
        <v>0.19245008972987523</v>
      </c>
      <c r="BS19" s="100">
        <f t="shared" si="59"/>
        <v>0.33333333333333331</v>
      </c>
      <c r="BT19" s="130" t="str">
        <f t="shared" si="60"/>
        <v>Pargasite</v>
      </c>
      <c r="BU19" s="3">
        <f t="shared" si="61"/>
        <v>0.4</v>
      </c>
      <c r="BV19" s="92">
        <f t="shared" si="62"/>
        <v>0.4</v>
      </c>
      <c r="BW19" s="3">
        <f t="shared" si="63"/>
        <v>0.2</v>
      </c>
      <c r="BX19">
        <f t="shared" si="64"/>
        <v>1</v>
      </c>
      <c r="BY19" s="100">
        <f t="shared" si="65"/>
        <v>0.57735026918962573</v>
      </c>
      <c r="BZ19" s="100">
        <f t="shared" si="66"/>
        <v>0.2</v>
      </c>
      <c r="CB19" s="103">
        <f>'Amphibole P-T calcs'!EU19</f>
        <v>6.4415890417734314</v>
      </c>
      <c r="CC19" s="103">
        <f>'Amphibole P-T calcs'!EV19</f>
        <v>0.27365197439800959</v>
      </c>
      <c r="CD19" s="103">
        <f>'Amphibole P-T calcs'!EW19</f>
        <v>1.8918607235393747</v>
      </c>
      <c r="CE19" s="103">
        <f>'Amphibole P-T calcs'!EX19</f>
        <v>0</v>
      </c>
      <c r="CF19" s="103">
        <f>'Amphibole P-T calcs'!EY19</f>
        <v>0</v>
      </c>
      <c r="CG19" s="103">
        <f>'Amphibole P-T calcs'!EZ19</f>
        <v>1.5692696689994836</v>
      </c>
      <c r="CH19" s="103">
        <f>'Amphibole P-T calcs'!FA19</f>
        <v>2.5678697600638744E-2</v>
      </c>
      <c r="CI19" s="103">
        <f>'Amphibole P-T calcs'!FB19</f>
        <v>2.9519880293952898</v>
      </c>
      <c r="CJ19" s="103">
        <f>'Amphibole P-T calcs'!FC19</f>
        <v>1.7780367806367663</v>
      </c>
      <c r="CK19" s="103">
        <f>'Amphibole P-T calcs'!FD19</f>
        <v>0.64658807179535027</v>
      </c>
      <c r="CL19" s="103">
        <f>'Amphibole P-T calcs'!FE19</f>
        <v>0.16691933963640818</v>
      </c>
      <c r="CM19">
        <f t="shared" si="67"/>
        <v>4.5469363959954121</v>
      </c>
      <c r="CN19">
        <f t="shared" si="68"/>
        <v>15.719903630174112</v>
      </c>
      <c r="CO19">
        <f t="shared" si="69"/>
        <v>13.154038135706228</v>
      </c>
      <c r="CQ19">
        <f t="shared" si="70"/>
        <v>0.375</v>
      </c>
      <c r="CR19">
        <f t="shared" si="71"/>
        <v>0</v>
      </c>
      <c r="CS19">
        <f t="shared" si="72"/>
        <v>0.1875</v>
      </c>
      <c r="CT19">
        <f t="shared" si="73"/>
        <v>0.25</v>
      </c>
      <c r="CU19">
        <v>0</v>
      </c>
      <c r="CV19">
        <f t="shared" si="74"/>
        <v>0.125</v>
      </c>
      <c r="CW19">
        <f t="shared" si="74"/>
        <v>6.25E-2</v>
      </c>
      <c r="CX19">
        <f t="shared" si="74"/>
        <v>0</v>
      </c>
      <c r="CY19" s="3">
        <f t="shared" si="75"/>
        <v>1</v>
      </c>
      <c r="DA19" t="s">
        <v>250</v>
      </c>
      <c r="DB19" t="s">
        <v>206</v>
      </c>
      <c r="DC19">
        <v>6</v>
      </c>
      <c r="DD19">
        <v>0</v>
      </c>
      <c r="DE19">
        <v>3</v>
      </c>
      <c r="DF19">
        <v>4</v>
      </c>
      <c r="DG19">
        <v>2</v>
      </c>
      <c r="DH19">
        <v>1</v>
      </c>
      <c r="DI19">
        <v>0</v>
      </c>
      <c r="DJ19">
        <f t="shared" si="21"/>
        <v>16</v>
      </c>
    </row>
    <row r="20" spans="1:114" ht="15.5" x14ac:dyDescent="0.35">
      <c r="A20" t="s">
        <v>196</v>
      </c>
      <c r="B20" t="s">
        <v>197</v>
      </c>
      <c r="D20" s="108">
        <f t="shared" si="1"/>
        <v>0</v>
      </c>
      <c r="E20" s="108">
        <f t="shared" si="2"/>
        <v>0.5</v>
      </c>
      <c r="F20" s="108">
        <f t="shared" si="3"/>
        <v>0</v>
      </c>
      <c r="G20" s="108">
        <f t="shared" si="4"/>
        <v>0</v>
      </c>
      <c r="H20" s="108">
        <f t="shared" si="5"/>
        <v>0.5</v>
      </c>
      <c r="I20" s="108">
        <f t="shared" si="6"/>
        <v>0</v>
      </c>
      <c r="J20" s="108">
        <f t="shared" si="7"/>
        <v>0</v>
      </c>
      <c r="K20" s="108">
        <f t="shared" si="8"/>
        <v>2.6020852139652106E-17</v>
      </c>
      <c r="L20" s="3">
        <f t="shared" si="22"/>
        <v>1</v>
      </c>
      <c r="M20" s="107" t="str">
        <f t="shared" si="23"/>
        <v>AluminoTschermakite</v>
      </c>
      <c r="N20" s="108">
        <f t="array" ref="N20:U20">MMULT(CQ20:CX20,$U$3:$AB$10)</f>
        <v>0</v>
      </c>
      <c r="O20" s="108">
        <v>6.6666666666666666E-2</v>
      </c>
      <c r="P20" s="108">
        <v>0</v>
      </c>
      <c r="Q20" s="108">
        <v>0</v>
      </c>
      <c r="R20" s="108">
        <v>6.6666666666666666E-2</v>
      </c>
      <c r="S20" s="108">
        <v>0</v>
      </c>
      <c r="T20" s="108">
        <v>0</v>
      </c>
      <c r="U20" s="108">
        <v>3.4694469519536142E-18</v>
      </c>
      <c r="V20" s="108">
        <f t="shared" si="24"/>
        <v>0.13333333333333333</v>
      </c>
      <c r="W20" t="str">
        <f t="shared" si="25"/>
        <v>AluminoTschermakite</v>
      </c>
      <c r="X20">
        <f t="shared" si="9"/>
        <v>1</v>
      </c>
      <c r="Y20">
        <f t="shared" si="10"/>
        <v>0</v>
      </c>
      <c r="Z20">
        <f t="shared" si="11"/>
        <v>0</v>
      </c>
      <c r="AA20">
        <f t="shared" si="26"/>
        <v>1</v>
      </c>
      <c r="AB20" s="100">
        <f t="shared" si="27"/>
        <v>0</v>
      </c>
      <c r="AC20" s="100">
        <f t="shared" si="28"/>
        <v>0</v>
      </c>
      <c r="AD20" t="str">
        <f t="shared" si="29"/>
        <v>AluminoTschermakite</v>
      </c>
      <c r="AE20">
        <f t="shared" si="12"/>
        <v>0</v>
      </c>
      <c r="AF20">
        <f t="shared" si="13"/>
        <v>1</v>
      </c>
      <c r="AG20">
        <f t="shared" si="14"/>
        <v>0</v>
      </c>
      <c r="AH20">
        <f t="shared" si="30"/>
        <v>1</v>
      </c>
      <c r="AI20" s="100">
        <f t="shared" si="31"/>
        <v>1.1547005383792515</v>
      </c>
      <c r="AJ20" s="100">
        <f t="shared" si="32"/>
        <v>0</v>
      </c>
      <c r="AK20" t="str">
        <f t="shared" si="33"/>
        <v>AluminoTschermakite</v>
      </c>
      <c r="AL20">
        <f t="shared" si="15"/>
        <v>1</v>
      </c>
      <c r="AM20">
        <f t="shared" si="16"/>
        <v>0</v>
      </c>
      <c r="AN20">
        <f t="shared" si="17"/>
        <v>0</v>
      </c>
      <c r="AO20">
        <f t="shared" si="34"/>
        <v>1</v>
      </c>
      <c r="AP20" s="100">
        <f t="shared" si="35"/>
        <v>0</v>
      </c>
      <c r="AQ20" s="100">
        <f t="shared" si="36"/>
        <v>0</v>
      </c>
      <c r="AS20">
        <f t="shared" si="18"/>
        <v>0.5</v>
      </c>
      <c r="AT20">
        <f t="shared" si="19"/>
        <v>0</v>
      </c>
      <c r="AU20">
        <f t="shared" si="20"/>
        <v>0.5</v>
      </c>
      <c r="AV20">
        <f t="shared" si="37"/>
        <v>1</v>
      </c>
      <c r="AW20" s="100">
        <f t="shared" si="38"/>
        <v>0.28867513459481287</v>
      </c>
      <c r="AX20" s="100">
        <f t="shared" si="39"/>
        <v>0.5</v>
      </c>
      <c r="AY20" s="107" t="s">
        <v>196</v>
      </c>
      <c r="AZ20" s="100">
        <f t="shared" si="40"/>
        <v>1</v>
      </c>
      <c r="BA20" s="100">
        <f t="shared" si="41"/>
        <v>0</v>
      </c>
      <c r="BB20" s="100">
        <f t="shared" si="42"/>
        <v>0</v>
      </c>
      <c r="BC20" s="100">
        <f t="shared" si="43"/>
        <v>1</v>
      </c>
      <c r="BD20" s="100">
        <f t="shared" si="44"/>
        <v>0</v>
      </c>
      <c r="BE20" s="100">
        <f t="shared" si="45"/>
        <v>0</v>
      </c>
      <c r="BF20" s="130" t="str">
        <f t="shared" si="46"/>
        <v>AluminoTschermakite</v>
      </c>
      <c r="BG20">
        <f t="shared" si="47"/>
        <v>0.5</v>
      </c>
      <c r="BH20" s="67">
        <f t="shared" si="48"/>
        <v>0</v>
      </c>
      <c r="BI20">
        <f t="shared" si="49"/>
        <v>0.5</v>
      </c>
      <c r="BJ20">
        <f t="shared" si="50"/>
        <v>1</v>
      </c>
      <c r="BK20" s="100">
        <f t="shared" si="51"/>
        <v>0.28867513459481287</v>
      </c>
      <c r="BL20" s="100">
        <f t="shared" si="52"/>
        <v>0.5</v>
      </c>
      <c r="BM20" s="130" t="str">
        <f t="shared" si="53"/>
        <v>AluminoTschermakite</v>
      </c>
      <c r="BN20">
        <f t="shared" si="54"/>
        <v>0.5</v>
      </c>
      <c r="BO20" s="67">
        <f t="shared" si="55"/>
        <v>0</v>
      </c>
      <c r="BP20">
        <f t="shared" si="56"/>
        <v>0.5</v>
      </c>
      <c r="BQ20">
        <f t="shared" si="57"/>
        <v>1</v>
      </c>
      <c r="BR20" s="100">
        <f t="shared" si="58"/>
        <v>0.28867513459481287</v>
      </c>
      <c r="BS20" s="100">
        <f t="shared" si="59"/>
        <v>0.5</v>
      </c>
      <c r="BT20" s="130" t="str">
        <f t="shared" si="60"/>
        <v>AluminoTschermakite</v>
      </c>
      <c r="BU20" s="3">
        <f t="shared" si="61"/>
        <v>0.5</v>
      </c>
      <c r="BV20" s="92">
        <f t="shared" si="62"/>
        <v>0</v>
      </c>
      <c r="BW20" s="3">
        <f t="shared" si="63"/>
        <v>0.5</v>
      </c>
      <c r="BX20">
        <f t="shared" si="64"/>
        <v>1</v>
      </c>
      <c r="BY20" s="100">
        <f t="shared" si="65"/>
        <v>0.28867513459481287</v>
      </c>
      <c r="BZ20" s="100">
        <f t="shared" si="66"/>
        <v>0.5</v>
      </c>
      <c r="CB20" s="103">
        <f>'Amphibole P-T calcs'!EU20</f>
        <v>6.0891812540861254</v>
      </c>
      <c r="CC20" s="103">
        <f>'Amphibole P-T calcs'!EV20</f>
        <v>0.35776540601648799</v>
      </c>
      <c r="CD20" s="103">
        <f>'Amphibole P-T calcs'!EW20</f>
        <v>2.0091037553946722</v>
      </c>
      <c r="CE20" s="103">
        <f>'Amphibole P-T calcs'!EX20</f>
        <v>2.4404993581388864E-2</v>
      </c>
      <c r="CF20" s="103">
        <f>'Amphibole P-T calcs'!EY20</f>
        <v>0</v>
      </c>
      <c r="CG20" s="103">
        <f>'Amphibole P-T calcs'!EZ20</f>
        <v>1.7928688448812</v>
      </c>
      <c r="CH20" s="103">
        <f>'Amphibole P-T calcs'!FA20</f>
        <v>7.9621270252558704E-2</v>
      </c>
      <c r="CI20" s="103">
        <f>'Amphibole P-T calcs'!FB20</f>
        <v>3.0077144603380916</v>
      </c>
      <c r="CJ20" s="103">
        <f>'Amphibole P-T calcs'!FC20</f>
        <v>1.7362981108399591</v>
      </c>
      <c r="CK20" s="103">
        <f>'Amphibole P-T calcs'!FD20</f>
        <v>0.67463363587080116</v>
      </c>
      <c r="CL20" s="103">
        <f>'Amphibole P-T calcs'!FE20</f>
        <v>0.20404810416694202</v>
      </c>
      <c r="CM20">
        <f t="shared" si="67"/>
        <v>4.8802045754718506</v>
      </c>
      <c r="CN20">
        <f t="shared" si="68"/>
        <v>15.871613571594279</v>
      </c>
      <c r="CO20">
        <f t="shared" si="69"/>
        <v>13.360659984550525</v>
      </c>
      <c r="CQ20">
        <f t="shared" si="70"/>
        <v>0.4</v>
      </c>
      <c r="CR20">
        <f t="shared" si="71"/>
        <v>0</v>
      </c>
      <c r="CS20">
        <f t="shared" si="72"/>
        <v>0.26666666666666666</v>
      </c>
      <c r="CT20">
        <f t="shared" si="73"/>
        <v>0.2</v>
      </c>
      <c r="CU20">
        <v>0</v>
      </c>
      <c r="CV20">
        <f t="shared" si="74"/>
        <v>0.13333333333333333</v>
      </c>
      <c r="CW20">
        <f t="shared" si="74"/>
        <v>0</v>
      </c>
      <c r="CX20">
        <f t="shared" si="74"/>
        <v>0</v>
      </c>
      <c r="CY20" s="3">
        <f t="shared" si="75"/>
        <v>1</v>
      </c>
      <c r="DA20" t="s">
        <v>196</v>
      </c>
      <c r="DB20" t="s">
        <v>197</v>
      </c>
      <c r="DC20">
        <v>6</v>
      </c>
      <c r="DD20">
        <v>0</v>
      </c>
      <c r="DE20">
        <v>4</v>
      </c>
      <c r="DF20">
        <v>3</v>
      </c>
      <c r="DG20">
        <v>2</v>
      </c>
      <c r="DH20">
        <v>0</v>
      </c>
      <c r="DI20">
        <v>0</v>
      </c>
      <c r="DJ20">
        <f t="shared" si="21"/>
        <v>15</v>
      </c>
    </row>
    <row r="21" spans="1:114" ht="15.5" x14ac:dyDescent="0.35">
      <c r="A21" t="s">
        <v>193</v>
      </c>
      <c r="B21" t="s">
        <v>194</v>
      </c>
      <c r="D21" s="108">
        <f t="shared" si="1"/>
        <v>-1.3877787807814457E-17</v>
      </c>
      <c r="E21" s="108">
        <f t="shared" si="2"/>
        <v>0.5</v>
      </c>
      <c r="F21" s="108">
        <f t="shared" si="3"/>
        <v>0.5</v>
      </c>
      <c r="G21" s="108">
        <f t="shared" si="4"/>
        <v>0</v>
      </c>
      <c r="H21" s="108">
        <f t="shared" si="5"/>
        <v>0</v>
      </c>
      <c r="I21" s="108">
        <f t="shared" si="6"/>
        <v>0</v>
      </c>
      <c r="J21" s="108">
        <f t="shared" si="7"/>
        <v>0</v>
      </c>
      <c r="K21" s="108">
        <f t="shared" si="8"/>
        <v>-6.9388939039072284E-18</v>
      </c>
      <c r="L21" s="3">
        <f t="shared" si="22"/>
        <v>1</v>
      </c>
      <c r="M21" s="107" t="str">
        <f t="shared" si="23"/>
        <v>Kaersutite</v>
      </c>
      <c r="N21" s="108">
        <f t="array" ref="N21:U21">MMULT(CQ21:CX21,$U$3:$AB$10)</f>
        <v>-1.7347234759768071E-18</v>
      </c>
      <c r="O21" s="108">
        <v>6.25E-2</v>
      </c>
      <c r="P21" s="108">
        <v>6.25E-2</v>
      </c>
      <c r="Q21" s="108">
        <v>0</v>
      </c>
      <c r="R21" s="108">
        <v>0</v>
      </c>
      <c r="S21" s="108">
        <v>0</v>
      </c>
      <c r="T21" s="108">
        <v>0</v>
      </c>
      <c r="U21" s="108">
        <v>-8.6736173798840355E-19</v>
      </c>
      <c r="V21" s="108">
        <f t="shared" si="24"/>
        <v>0.125</v>
      </c>
      <c r="W21" t="str">
        <f t="shared" si="25"/>
        <v>Kaersutite</v>
      </c>
      <c r="X21">
        <f t="shared" si="9"/>
        <v>1</v>
      </c>
      <c r="Y21">
        <f t="shared" si="10"/>
        <v>0</v>
      </c>
      <c r="Z21">
        <f t="shared" si="11"/>
        <v>0</v>
      </c>
      <c r="AA21">
        <f t="shared" si="26"/>
        <v>1</v>
      </c>
      <c r="AB21" s="100">
        <f t="shared" si="27"/>
        <v>0</v>
      </c>
      <c r="AC21" s="100">
        <f t="shared" si="28"/>
        <v>0</v>
      </c>
      <c r="AD21" t="str">
        <f t="shared" si="29"/>
        <v>Kaersutite</v>
      </c>
      <c r="AE21">
        <f t="shared" si="12"/>
        <v>1</v>
      </c>
      <c r="AF21">
        <f t="shared" si="13"/>
        <v>0</v>
      </c>
      <c r="AG21">
        <f t="shared" si="14"/>
        <v>0</v>
      </c>
      <c r="AH21">
        <f t="shared" si="30"/>
        <v>1</v>
      </c>
      <c r="AI21" s="100">
        <f t="shared" si="31"/>
        <v>0</v>
      </c>
      <c r="AJ21" s="100">
        <f t="shared" si="32"/>
        <v>0</v>
      </c>
      <c r="AK21" t="str">
        <f t="shared" si="33"/>
        <v>Kaersutite</v>
      </c>
      <c r="AL21">
        <f t="shared" si="15"/>
        <v>1</v>
      </c>
      <c r="AM21">
        <f t="shared" si="16"/>
        <v>-2.7755575615628914E-17</v>
      </c>
      <c r="AN21">
        <f t="shared" si="17"/>
        <v>0</v>
      </c>
      <c r="AO21">
        <f t="shared" si="34"/>
        <v>1</v>
      </c>
      <c r="AP21" s="100">
        <f t="shared" si="35"/>
        <v>-3.204937810639273E-17</v>
      </c>
      <c r="AQ21" s="100">
        <f t="shared" si="36"/>
        <v>0</v>
      </c>
      <c r="AS21">
        <f t="shared" si="18"/>
        <v>0.5</v>
      </c>
      <c r="AT21">
        <f t="shared" si="19"/>
        <v>0.5</v>
      </c>
      <c r="AU21">
        <f t="shared" si="20"/>
        <v>0</v>
      </c>
      <c r="AV21">
        <f t="shared" si="37"/>
        <v>1</v>
      </c>
      <c r="AW21" s="100">
        <f t="shared" si="38"/>
        <v>0.57735026918962573</v>
      </c>
      <c r="AX21" s="100">
        <f t="shared" si="39"/>
        <v>0</v>
      </c>
      <c r="AY21" s="107" t="s">
        <v>193</v>
      </c>
      <c r="AZ21" s="100">
        <f t="shared" si="40"/>
        <v>0.5</v>
      </c>
      <c r="BA21" s="100">
        <f t="shared" si="41"/>
        <v>0.5</v>
      </c>
      <c r="BB21" s="100">
        <f t="shared" si="42"/>
        <v>0</v>
      </c>
      <c r="BC21" s="100">
        <f t="shared" si="43"/>
        <v>1</v>
      </c>
      <c r="BD21" s="100">
        <f t="shared" si="44"/>
        <v>0.57735026918962573</v>
      </c>
      <c r="BE21" s="100">
        <f t="shared" si="45"/>
        <v>0</v>
      </c>
      <c r="BF21" s="130" t="str">
        <f t="shared" si="46"/>
        <v>Kaersutite</v>
      </c>
      <c r="BG21">
        <f t="shared" si="47"/>
        <v>0.5</v>
      </c>
      <c r="BH21" s="67">
        <f t="shared" si="48"/>
        <v>0.5</v>
      </c>
      <c r="BI21">
        <f t="shared" si="49"/>
        <v>0</v>
      </c>
      <c r="BJ21">
        <f t="shared" si="50"/>
        <v>1</v>
      </c>
      <c r="BK21" s="100">
        <f t="shared" si="51"/>
        <v>0.57735026918962573</v>
      </c>
      <c r="BL21" s="100">
        <f t="shared" si="52"/>
        <v>0</v>
      </c>
      <c r="BM21" s="130" t="str">
        <f t="shared" si="53"/>
        <v>Kaersutite</v>
      </c>
      <c r="BN21">
        <f t="shared" si="54"/>
        <v>1</v>
      </c>
      <c r="BO21" s="67">
        <f t="shared" si="55"/>
        <v>0</v>
      </c>
      <c r="BP21">
        <f t="shared" si="56"/>
        <v>0</v>
      </c>
      <c r="BQ21">
        <f t="shared" si="57"/>
        <v>1</v>
      </c>
      <c r="BR21" s="100">
        <f t="shared" si="58"/>
        <v>0</v>
      </c>
      <c r="BS21" s="100">
        <f t="shared" si="59"/>
        <v>0</v>
      </c>
      <c r="BT21" s="130" t="str">
        <f t="shared" si="60"/>
        <v>Kaersutite</v>
      </c>
      <c r="BU21" s="3">
        <f t="shared" si="61"/>
        <v>1</v>
      </c>
      <c r="BV21" s="92">
        <f t="shared" si="62"/>
        <v>0</v>
      </c>
      <c r="BW21" s="3">
        <f t="shared" si="63"/>
        <v>0</v>
      </c>
      <c r="BX21">
        <f t="shared" si="64"/>
        <v>1</v>
      </c>
      <c r="BY21" s="100">
        <f t="shared" si="65"/>
        <v>0</v>
      </c>
      <c r="BZ21" s="100">
        <f t="shared" si="66"/>
        <v>0</v>
      </c>
      <c r="CB21" s="103">
        <f>'Amphibole P-T calcs'!EU21</f>
        <v>6.2928561017780291</v>
      </c>
      <c r="CC21" s="103">
        <f>'Amphibole P-T calcs'!EV21</f>
        <v>0.30234917725092286</v>
      </c>
      <c r="CD21" s="103">
        <f>'Amphibole P-T calcs'!EW21</f>
        <v>1.9879359070801741</v>
      </c>
      <c r="CE21" s="103">
        <f>'Amphibole P-T calcs'!EX21</f>
        <v>1.1770702895585023E-3</v>
      </c>
      <c r="CF21" s="103">
        <f>'Amphibole P-T calcs'!EY21</f>
        <v>0</v>
      </c>
      <c r="CG21" s="103">
        <f>'Amphibole P-T calcs'!EZ21</f>
        <v>1.6558583713940589</v>
      </c>
      <c r="CH21" s="103">
        <f>'Amphibole P-T calcs'!FA21</f>
        <v>5.0438326820904725E-2</v>
      </c>
      <c r="CI21" s="103">
        <f>'Amphibole P-T calcs'!FB21</f>
        <v>2.9339692225353691</v>
      </c>
      <c r="CJ21" s="103">
        <f>'Amphibole P-T calcs'!FC21</f>
        <v>1.7625886425672423</v>
      </c>
      <c r="CK21" s="103">
        <f>'Amphibole P-T calcs'!FD21</f>
        <v>0.65810855663750689</v>
      </c>
      <c r="CL21" s="103">
        <f>'Amphibole P-T calcs'!FE21</f>
        <v>0.18802226850234346</v>
      </c>
      <c r="CM21">
        <f t="shared" si="67"/>
        <v>4.6402659207503323</v>
      </c>
      <c r="CN21">
        <f t="shared" si="68"/>
        <v>15.781688247745647</v>
      </c>
      <c r="CO21">
        <f t="shared" si="69"/>
        <v>13.224584177149017</v>
      </c>
      <c r="CQ21">
        <f t="shared" si="70"/>
        <v>0.375</v>
      </c>
      <c r="CR21">
        <f t="shared" si="71"/>
        <v>6.25E-2</v>
      </c>
      <c r="CS21">
        <f t="shared" si="72"/>
        <v>0.125</v>
      </c>
      <c r="CT21">
        <f t="shared" si="73"/>
        <v>0.25</v>
      </c>
      <c r="CU21">
        <v>0</v>
      </c>
      <c r="CV21">
        <f t="shared" si="74"/>
        <v>0.125</v>
      </c>
      <c r="CW21">
        <f t="shared" si="74"/>
        <v>6.25E-2</v>
      </c>
      <c r="CX21">
        <f t="shared" si="74"/>
        <v>0</v>
      </c>
      <c r="CY21" s="3">
        <f t="shared" si="75"/>
        <v>1</v>
      </c>
      <c r="DA21" t="s">
        <v>193</v>
      </c>
      <c r="DB21" t="s">
        <v>194</v>
      </c>
      <c r="DC21">
        <v>6</v>
      </c>
      <c r="DD21">
        <v>1</v>
      </c>
      <c r="DE21">
        <v>2</v>
      </c>
      <c r="DF21">
        <v>4</v>
      </c>
      <c r="DG21">
        <v>2</v>
      </c>
      <c r="DH21">
        <v>1</v>
      </c>
      <c r="DI21">
        <v>0</v>
      </c>
      <c r="DJ21">
        <f t="shared" si="21"/>
        <v>16</v>
      </c>
    </row>
    <row r="22" spans="1:114" ht="15.5" x14ac:dyDescent="0.35">
      <c r="A22" t="s">
        <v>189</v>
      </c>
      <c r="B22" t="s">
        <v>190</v>
      </c>
      <c r="D22" s="108">
        <f t="shared" si="1"/>
        <v>1</v>
      </c>
      <c r="E22" s="108">
        <f t="shared" si="2"/>
        <v>0</v>
      </c>
      <c r="F22" s="108">
        <f t="shared" si="3"/>
        <v>0</v>
      </c>
      <c r="G22" s="108">
        <f t="shared" si="4"/>
        <v>0</v>
      </c>
      <c r="H22" s="108">
        <f t="shared" si="5"/>
        <v>0</v>
      </c>
      <c r="I22" s="108">
        <f t="shared" si="6"/>
        <v>0</v>
      </c>
      <c r="J22" s="108">
        <f t="shared" si="7"/>
        <v>0</v>
      </c>
      <c r="K22" s="108">
        <f t="shared" si="8"/>
        <v>0</v>
      </c>
      <c r="L22" s="3">
        <f t="shared" si="22"/>
        <v>1</v>
      </c>
      <c r="M22" s="107" t="str">
        <f t="shared" si="23"/>
        <v>Cummingtonite+Grunerite</v>
      </c>
      <c r="N22" s="108">
        <f t="array" ref="N22:U22">MMULT(CQ22:CX22,$U$3:$AB$10)</f>
        <v>6.6666666666666666E-2</v>
      </c>
      <c r="O22" s="108">
        <v>0</v>
      </c>
      <c r="P22" s="108">
        <v>0</v>
      </c>
      <c r="Q22" s="108">
        <v>0</v>
      </c>
      <c r="R22" s="108">
        <v>0</v>
      </c>
      <c r="S22" s="108">
        <v>0</v>
      </c>
      <c r="T22" s="108">
        <v>0</v>
      </c>
      <c r="U22" s="108">
        <v>0</v>
      </c>
      <c r="V22" s="108">
        <f t="shared" si="24"/>
        <v>6.6666666666666666E-2</v>
      </c>
      <c r="W22" t="str">
        <f t="shared" si="25"/>
        <v>Cummingtonite+Grunerite</v>
      </c>
      <c r="X22" t="e">
        <f t="shared" si="9"/>
        <v>#DIV/0!</v>
      </c>
      <c r="Y22" t="e">
        <f t="shared" si="10"/>
        <v>#DIV/0!</v>
      </c>
      <c r="Z22" t="e">
        <f t="shared" si="11"/>
        <v>#DIV/0!</v>
      </c>
      <c r="AA22" t="e">
        <f t="shared" si="26"/>
        <v>#DIV/0!</v>
      </c>
      <c r="AB22" s="100" t="e">
        <f t="shared" si="27"/>
        <v>#DIV/0!</v>
      </c>
      <c r="AC22" s="100" t="e">
        <f t="shared" si="28"/>
        <v>#DIV/0!</v>
      </c>
      <c r="AD22" t="str">
        <f t="shared" si="29"/>
        <v>Cummingtonite+Grunerite</v>
      </c>
      <c r="AE22">
        <f t="shared" si="12"/>
        <v>1</v>
      </c>
      <c r="AF22">
        <f t="shared" si="13"/>
        <v>0</v>
      </c>
      <c r="AG22">
        <f t="shared" si="14"/>
        <v>0</v>
      </c>
      <c r="AH22">
        <f t="shared" si="30"/>
        <v>1</v>
      </c>
      <c r="AI22" s="100">
        <f t="shared" si="31"/>
        <v>0</v>
      </c>
      <c r="AJ22" s="100">
        <f t="shared" si="32"/>
        <v>0</v>
      </c>
      <c r="AK22" t="str">
        <f t="shared" si="33"/>
        <v>Cummingtonite+Grunerite</v>
      </c>
      <c r="AL22">
        <f t="shared" si="15"/>
        <v>0</v>
      </c>
      <c r="AM22">
        <f t="shared" si="16"/>
        <v>1</v>
      </c>
      <c r="AN22">
        <f t="shared" si="17"/>
        <v>0</v>
      </c>
      <c r="AO22">
        <f t="shared" si="34"/>
        <v>1</v>
      </c>
      <c r="AP22" s="100">
        <f t="shared" si="35"/>
        <v>1.1547005383792515</v>
      </c>
      <c r="AQ22" s="100">
        <f t="shared" si="36"/>
        <v>0</v>
      </c>
      <c r="AS22" t="e">
        <f t="shared" si="18"/>
        <v>#DIV/0!</v>
      </c>
      <c r="AT22" t="e">
        <f t="shared" si="19"/>
        <v>#DIV/0!</v>
      </c>
      <c r="AU22" t="e">
        <f t="shared" si="20"/>
        <v>#DIV/0!</v>
      </c>
      <c r="AV22" t="e">
        <f t="shared" si="37"/>
        <v>#DIV/0!</v>
      </c>
      <c r="AW22" s="100" t="e">
        <f t="shared" si="38"/>
        <v>#DIV/0!</v>
      </c>
      <c r="AX22" s="100" t="e">
        <f t="shared" si="39"/>
        <v>#DIV/0!</v>
      </c>
      <c r="AY22" s="107" t="s">
        <v>189</v>
      </c>
      <c r="AZ22" s="100" t="e">
        <f t="shared" si="40"/>
        <v>#DIV/0!</v>
      </c>
      <c r="BA22" s="100" t="e">
        <f t="shared" si="41"/>
        <v>#DIV/0!</v>
      </c>
      <c r="BB22" s="100" t="e">
        <f t="shared" si="42"/>
        <v>#DIV/0!</v>
      </c>
      <c r="BC22" s="100" t="e">
        <f t="shared" si="43"/>
        <v>#DIV/0!</v>
      </c>
      <c r="BD22" s="100" t="e">
        <f t="shared" si="44"/>
        <v>#DIV/0!</v>
      </c>
      <c r="BE22" s="100" t="e">
        <f t="shared" si="45"/>
        <v>#DIV/0!</v>
      </c>
      <c r="BF22" s="130" t="str">
        <f t="shared" si="46"/>
        <v>Cummingtonite+Grunerite</v>
      </c>
      <c r="BG22" t="e">
        <f t="shared" si="47"/>
        <v>#DIV/0!</v>
      </c>
      <c r="BH22" s="67" t="e">
        <f t="shared" si="48"/>
        <v>#DIV/0!</v>
      </c>
      <c r="BI22" t="e">
        <f t="shared" si="49"/>
        <v>#DIV/0!</v>
      </c>
      <c r="BJ22" t="e">
        <f t="shared" si="50"/>
        <v>#DIV/0!</v>
      </c>
      <c r="BK22" s="100" t="e">
        <f t="shared" si="51"/>
        <v>#DIV/0!</v>
      </c>
      <c r="BL22" s="100" t="e">
        <f t="shared" si="52"/>
        <v>#DIV/0!</v>
      </c>
      <c r="BM22" s="130" t="str">
        <f t="shared" si="53"/>
        <v>Cummingtonite+Grunerite</v>
      </c>
      <c r="BN22" t="e">
        <f t="shared" si="54"/>
        <v>#DIV/0!</v>
      </c>
      <c r="BO22" s="67" t="e">
        <f t="shared" si="55"/>
        <v>#DIV/0!</v>
      </c>
      <c r="BP22" t="e">
        <f t="shared" si="56"/>
        <v>#DIV/0!</v>
      </c>
      <c r="BQ22" t="e">
        <f t="shared" si="57"/>
        <v>#DIV/0!</v>
      </c>
      <c r="BR22" s="100" t="e">
        <f t="shared" si="58"/>
        <v>#DIV/0!</v>
      </c>
      <c r="BS22" s="100" t="e">
        <f t="shared" si="59"/>
        <v>#DIV/0!</v>
      </c>
      <c r="BT22" s="130" t="str">
        <f t="shared" si="60"/>
        <v>Cummingtonite+Grunerite</v>
      </c>
      <c r="BU22" s="3" t="e">
        <f t="shared" si="61"/>
        <v>#DIV/0!</v>
      </c>
      <c r="BV22" s="92" t="e">
        <f t="shared" si="62"/>
        <v>#DIV/0!</v>
      </c>
      <c r="BW22" s="3" t="e">
        <f t="shared" si="63"/>
        <v>#DIV/0!</v>
      </c>
      <c r="BX22" t="e">
        <f t="shared" si="64"/>
        <v>#DIV/0!</v>
      </c>
      <c r="BY22" s="100" t="e">
        <f t="shared" si="65"/>
        <v>#DIV/0!</v>
      </c>
      <c r="BZ22" s="100" t="e">
        <f t="shared" si="66"/>
        <v>#DIV/0!</v>
      </c>
      <c r="CB22" s="103">
        <f>'Amphibole P-T calcs'!EU22</f>
        <v>6.4552551063979378</v>
      </c>
      <c r="CC22" s="103">
        <f>'Amphibole P-T calcs'!EV22</f>
        <v>0.23806581487533654</v>
      </c>
      <c r="CD22" s="103">
        <f>'Amphibole P-T calcs'!EW22</f>
        <v>2.0146418893878235</v>
      </c>
      <c r="CE22" s="103">
        <f>'Amphibole P-T calcs'!EX22</f>
        <v>0</v>
      </c>
      <c r="CF22" s="103">
        <f>'Amphibole P-T calcs'!EY22</f>
        <v>0</v>
      </c>
      <c r="CG22" s="103">
        <f>'Amphibole P-T calcs'!EZ22</f>
        <v>1.5749858470859508</v>
      </c>
      <c r="CH22" s="103">
        <f>'Amphibole P-T calcs'!FA22</f>
        <v>2.9196043476551397E-2</v>
      </c>
      <c r="CI22" s="103">
        <f>'Amphibole P-T calcs'!FB22</f>
        <v>2.8075610395906172</v>
      </c>
      <c r="CJ22" s="103">
        <f>'Amphibole P-T calcs'!FC22</f>
        <v>1.7761310142902336</v>
      </c>
      <c r="CK22" s="103">
        <f>'Amphibole P-T calcs'!FD22</f>
        <v>0.65313324642497972</v>
      </c>
      <c r="CL22" s="103">
        <f>'Amphibole P-T calcs'!FE22</f>
        <v>0.15390951143174927</v>
      </c>
      <c r="CM22">
        <f t="shared" si="67"/>
        <v>4.4117429301531192</v>
      </c>
      <c r="CN22">
        <f t="shared" si="68"/>
        <v>15.673683469484629</v>
      </c>
      <c r="CO22">
        <f t="shared" si="69"/>
        <v>13.119705740814217</v>
      </c>
      <c r="CQ22">
        <f t="shared" si="70"/>
        <v>0.53333333333333333</v>
      </c>
      <c r="CR22">
        <f t="shared" si="71"/>
        <v>0</v>
      </c>
      <c r="CS22">
        <f t="shared" si="72"/>
        <v>0</v>
      </c>
      <c r="CT22">
        <f t="shared" si="73"/>
        <v>0.46666666666666667</v>
      </c>
      <c r="CU22">
        <v>0</v>
      </c>
      <c r="CV22">
        <f t="shared" si="74"/>
        <v>0</v>
      </c>
      <c r="CW22">
        <f t="shared" si="74"/>
        <v>0</v>
      </c>
      <c r="CX22">
        <f t="shared" si="74"/>
        <v>0</v>
      </c>
      <c r="CY22" s="3">
        <f t="shared" si="75"/>
        <v>1</v>
      </c>
      <c r="DA22" t="s">
        <v>189</v>
      </c>
      <c r="DB22" t="s">
        <v>190</v>
      </c>
      <c r="DC22">
        <v>8</v>
      </c>
      <c r="DD22">
        <v>0</v>
      </c>
      <c r="DE22">
        <v>0</v>
      </c>
      <c r="DF22">
        <v>7</v>
      </c>
      <c r="DG22">
        <v>0</v>
      </c>
      <c r="DH22">
        <v>0</v>
      </c>
      <c r="DI22">
        <v>0</v>
      </c>
      <c r="DJ22">
        <f t="shared" si="21"/>
        <v>15</v>
      </c>
    </row>
    <row r="23" spans="1:114" ht="15.5" x14ac:dyDescent="0.35">
      <c r="A23" t="s">
        <v>207</v>
      </c>
      <c r="B23" t="s">
        <v>208</v>
      </c>
      <c r="D23" s="108">
        <f t="shared" si="1"/>
        <v>0.5</v>
      </c>
      <c r="E23" s="108">
        <f t="shared" si="2"/>
        <v>0</v>
      </c>
      <c r="F23" s="108">
        <f t="shared" si="3"/>
        <v>0</v>
      </c>
      <c r="G23" s="108">
        <f t="shared" si="4"/>
        <v>0</v>
      </c>
      <c r="H23" s="108">
        <f t="shared" si="5"/>
        <v>0.5</v>
      </c>
      <c r="I23" s="108">
        <f t="shared" si="6"/>
        <v>0</v>
      </c>
      <c r="J23" s="108">
        <f t="shared" si="7"/>
        <v>0</v>
      </c>
      <c r="K23" s="108">
        <f t="shared" si="8"/>
        <v>5.2041704279304213E-17</v>
      </c>
      <c r="L23" s="3">
        <f t="shared" si="22"/>
        <v>1</v>
      </c>
      <c r="M23" s="107" t="str">
        <f t="shared" si="23"/>
        <v>Gedrite</v>
      </c>
      <c r="N23" s="108">
        <f t="array" ref="N23:U23">MMULT(CQ23:CX23,$U$3:$AB$10)</f>
        <v>6.6666666666666666E-2</v>
      </c>
      <c r="O23" s="108">
        <v>0</v>
      </c>
      <c r="P23" s="108">
        <v>0</v>
      </c>
      <c r="Q23" s="108">
        <v>0</v>
      </c>
      <c r="R23" s="108">
        <v>6.6666666666666666E-2</v>
      </c>
      <c r="S23" s="108">
        <v>0</v>
      </c>
      <c r="T23" s="108">
        <v>0</v>
      </c>
      <c r="U23" s="108">
        <v>6.9388939039072284E-18</v>
      </c>
      <c r="V23" s="108">
        <f t="shared" si="24"/>
        <v>0.13333333333333333</v>
      </c>
      <c r="W23" t="str">
        <f t="shared" si="25"/>
        <v>Gedrite</v>
      </c>
      <c r="X23" t="e">
        <f t="shared" si="9"/>
        <v>#DIV/0!</v>
      </c>
      <c r="Y23" t="e">
        <f t="shared" si="10"/>
        <v>#DIV/0!</v>
      </c>
      <c r="Z23" t="e">
        <f t="shared" si="11"/>
        <v>#DIV/0!</v>
      </c>
      <c r="AA23" t="e">
        <f t="shared" si="26"/>
        <v>#DIV/0!</v>
      </c>
      <c r="AB23" s="100" t="e">
        <f t="shared" si="27"/>
        <v>#DIV/0!</v>
      </c>
      <c r="AC23" s="100" t="e">
        <f t="shared" si="28"/>
        <v>#DIV/0!</v>
      </c>
      <c r="AD23" t="str">
        <f t="shared" si="29"/>
        <v>Gedrite</v>
      </c>
      <c r="AE23">
        <f t="shared" si="12"/>
        <v>0.5</v>
      </c>
      <c r="AF23">
        <f t="shared" si="13"/>
        <v>0.5</v>
      </c>
      <c r="AG23">
        <f t="shared" si="14"/>
        <v>0</v>
      </c>
      <c r="AH23">
        <f t="shared" si="30"/>
        <v>1</v>
      </c>
      <c r="AI23" s="100">
        <f t="shared" si="31"/>
        <v>0.57735026918962573</v>
      </c>
      <c r="AJ23" s="100">
        <f t="shared" si="32"/>
        <v>0</v>
      </c>
      <c r="AK23" t="str">
        <f t="shared" si="33"/>
        <v>Gedrite</v>
      </c>
      <c r="AL23">
        <f t="shared" si="15"/>
        <v>0</v>
      </c>
      <c r="AM23">
        <f t="shared" si="16"/>
        <v>1</v>
      </c>
      <c r="AN23">
        <f t="shared" si="17"/>
        <v>0</v>
      </c>
      <c r="AO23">
        <f t="shared" si="34"/>
        <v>1</v>
      </c>
      <c r="AP23" s="100">
        <f t="shared" si="35"/>
        <v>1.1547005383792515</v>
      </c>
      <c r="AQ23" s="100">
        <f t="shared" si="36"/>
        <v>0</v>
      </c>
      <c r="AS23">
        <f t="shared" si="18"/>
        <v>0</v>
      </c>
      <c r="AT23">
        <f t="shared" si="19"/>
        <v>0</v>
      </c>
      <c r="AU23">
        <f t="shared" si="20"/>
        <v>1</v>
      </c>
      <c r="AV23">
        <f t="shared" si="37"/>
        <v>1</v>
      </c>
      <c r="AW23" s="100">
        <f t="shared" si="38"/>
        <v>0.57735026918962573</v>
      </c>
      <c r="AX23" s="100">
        <f t="shared" si="39"/>
        <v>1</v>
      </c>
      <c r="AY23" s="107" t="s">
        <v>207</v>
      </c>
      <c r="AZ23" s="100" t="e">
        <f t="shared" si="40"/>
        <v>#DIV/0!</v>
      </c>
      <c r="BA23" s="100" t="e">
        <f t="shared" si="41"/>
        <v>#DIV/0!</v>
      </c>
      <c r="BB23" s="100" t="e">
        <f t="shared" si="42"/>
        <v>#DIV/0!</v>
      </c>
      <c r="BC23" s="100" t="e">
        <f t="shared" si="43"/>
        <v>#DIV/0!</v>
      </c>
      <c r="BD23" s="100" t="e">
        <f t="shared" si="44"/>
        <v>#DIV/0!</v>
      </c>
      <c r="BE23" s="100" t="e">
        <f t="shared" si="45"/>
        <v>#DIV/0!</v>
      </c>
      <c r="BF23" s="130" t="str">
        <f t="shared" si="46"/>
        <v>Gedrite</v>
      </c>
      <c r="BG23">
        <f t="shared" si="47"/>
        <v>0</v>
      </c>
      <c r="BH23" s="67">
        <f t="shared" si="48"/>
        <v>0</v>
      </c>
      <c r="BI23">
        <f t="shared" si="49"/>
        <v>1</v>
      </c>
      <c r="BJ23">
        <f t="shared" si="50"/>
        <v>1</v>
      </c>
      <c r="BK23" s="100">
        <f t="shared" si="51"/>
        <v>0.57735026918962573</v>
      </c>
      <c r="BL23" s="100">
        <f t="shared" si="52"/>
        <v>1</v>
      </c>
      <c r="BM23" s="130" t="str">
        <f t="shared" si="53"/>
        <v>Gedrite</v>
      </c>
      <c r="BN23">
        <f t="shared" si="54"/>
        <v>0</v>
      </c>
      <c r="BO23" s="67">
        <f t="shared" si="55"/>
        <v>0</v>
      </c>
      <c r="BP23">
        <f t="shared" si="56"/>
        <v>1</v>
      </c>
      <c r="BQ23">
        <f t="shared" si="57"/>
        <v>1</v>
      </c>
      <c r="BR23" s="100">
        <f t="shared" si="58"/>
        <v>0.57735026918962573</v>
      </c>
      <c r="BS23" s="100">
        <f t="shared" si="59"/>
        <v>1</v>
      </c>
      <c r="BT23" s="130" t="str">
        <f t="shared" si="60"/>
        <v>Gedrite</v>
      </c>
      <c r="BU23" s="3">
        <f t="shared" si="61"/>
        <v>0</v>
      </c>
      <c r="BV23" s="92">
        <f t="shared" si="62"/>
        <v>0</v>
      </c>
      <c r="BW23" s="3">
        <f t="shared" si="63"/>
        <v>1</v>
      </c>
      <c r="BX23">
        <f t="shared" si="64"/>
        <v>1</v>
      </c>
      <c r="BY23" s="100">
        <f t="shared" si="65"/>
        <v>0.57735026918962573</v>
      </c>
      <c r="BZ23" s="100">
        <f t="shared" si="66"/>
        <v>1</v>
      </c>
      <c r="CB23" s="103">
        <f>'Amphibole P-T calcs'!EU23</f>
        <v>6.1422236916067918</v>
      </c>
      <c r="CC23" s="103">
        <f>'Amphibole P-T calcs'!EV23</f>
        <v>0.34973593461895386</v>
      </c>
      <c r="CD23" s="103">
        <f>'Amphibole P-T calcs'!EW23</f>
        <v>2.0499271046003176</v>
      </c>
      <c r="CE23" s="103">
        <f>'Amphibole P-T calcs'!EX23</f>
        <v>5.6039440274921982E-3</v>
      </c>
      <c r="CF23" s="103">
        <f>'Amphibole P-T calcs'!EY23</f>
        <v>0</v>
      </c>
      <c r="CG23" s="103">
        <f>'Amphibole P-T calcs'!EZ23</f>
        <v>1.7343520577093026</v>
      </c>
      <c r="CH23" s="103">
        <f>'Amphibole P-T calcs'!FA23</f>
        <v>7.4441267003455922E-2</v>
      </c>
      <c r="CI23" s="103">
        <f>'Amphibole P-T calcs'!FB23</f>
        <v>2.9289281335120019</v>
      </c>
      <c r="CJ23" s="103">
        <f>'Amphibole P-T calcs'!FC23</f>
        <v>1.7512146566837505</v>
      </c>
      <c r="CK23" s="103">
        <f>'Amphibole P-T calcs'!FD23</f>
        <v>0.67611284100493463</v>
      </c>
      <c r="CL23" s="103">
        <f>'Amphibole P-T calcs'!FE23</f>
        <v>0.21158327839163965</v>
      </c>
      <c r="CM23">
        <f t="shared" si="67"/>
        <v>4.73772145822476</v>
      </c>
      <c r="CN23">
        <f t="shared" si="68"/>
        <v>15.844077698127693</v>
      </c>
      <c r="CO23">
        <f t="shared" si="69"/>
        <v>13.285212133078316</v>
      </c>
      <c r="CQ23">
        <f t="shared" si="70"/>
        <v>0.4</v>
      </c>
      <c r="CR23">
        <f t="shared" si="71"/>
        <v>0</v>
      </c>
      <c r="CS23">
        <f t="shared" si="72"/>
        <v>0.26666666666666666</v>
      </c>
      <c r="CT23">
        <f t="shared" si="73"/>
        <v>0.33333333333333331</v>
      </c>
      <c r="CU23">
        <v>0</v>
      </c>
      <c r="CV23">
        <f t="shared" si="74"/>
        <v>0</v>
      </c>
      <c r="CW23">
        <f t="shared" si="74"/>
        <v>0</v>
      </c>
      <c r="CX23">
        <f t="shared" si="74"/>
        <v>0</v>
      </c>
      <c r="CY23" s="3">
        <f t="shared" si="75"/>
        <v>1</v>
      </c>
      <c r="DA23" s="141" t="s">
        <v>207</v>
      </c>
      <c r="DB23" s="141" t="s">
        <v>208</v>
      </c>
      <c r="DC23">
        <v>6</v>
      </c>
      <c r="DD23">
        <v>0</v>
      </c>
      <c r="DE23">
        <v>4</v>
      </c>
      <c r="DF23">
        <v>5</v>
      </c>
      <c r="DG23">
        <v>0</v>
      </c>
      <c r="DH23">
        <v>0</v>
      </c>
      <c r="DI23">
        <v>0</v>
      </c>
      <c r="DJ23">
        <f t="shared" si="21"/>
        <v>15</v>
      </c>
    </row>
    <row r="24" spans="1:114" ht="15.5" x14ac:dyDescent="0.35">
      <c r="A24" t="s">
        <v>198</v>
      </c>
      <c r="B24" t="s">
        <v>199</v>
      </c>
      <c r="D24" s="108">
        <f t="shared" si="1"/>
        <v>0.4</v>
      </c>
      <c r="E24" s="108">
        <f t="shared" si="2"/>
        <v>0</v>
      </c>
      <c r="F24" s="108">
        <f t="shared" si="3"/>
        <v>0</v>
      </c>
      <c r="G24" s="108">
        <f t="shared" si="4"/>
        <v>0</v>
      </c>
      <c r="H24" s="108">
        <f t="shared" si="5"/>
        <v>0.2</v>
      </c>
      <c r="I24" s="108">
        <f t="shared" si="6"/>
        <v>0.4</v>
      </c>
      <c r="J24" s="108">
        <f t="shared" si="7"/>
        <v>0</v>
      </c>
      <c r="K24" s="108">
        <f t="shared" si="8"/>
        <v>-2.7755575615628914E-17</v>
      </c>
      <c r="L24" s="3">
        <f t="shared" si="22"/>
        <v>1</v>
      </c>
      <c r="M24" s="107" t="str">
        <f t="shared" si="23"/>
        <v>Sodicgedrite</v>
      </c>
      <c r="N24" s="108">
        <f t="array" ref="N24:U24">MMULT(CQ24:CX24,$U$3:$AB$10)</f>
        <v>6.25E-2</v>
      </c>
      <c r="O24" s="108">
        <v>0</v>
      </c>
      <c r="P24" s="108">
        <v>0</v>
      </c>
      <c r="Q24" s="108">
        <v>0</v>
      </c>
      <c r="R24" s="108">
        <v>3.125E-2</v>
      </c>
      <c r="S24" s="108">
        <v>6.25E-2</v>
      </c>
      <c r="T24" s="108">
        <v>0</v>
      </c>
      <c r="U24" s="108">
        <v>-4.3368086899420177E-18</v>
      </c>
      <c r="V24" s="108">
        <f t="shared" si="24"/>
        <v>0.15625</v>
      </c>
      <c r="W24" t="str">
        <f t="shared" si="25"/>
        <v>Sodicgedrite</v>
      </c>
      <c r="X24">
        <f t="shared" si="9"/>
        <v>0</v>
      </c>
      <c r="Y24">
        <f t="shared" si="10"/>
        <v>1</v>
      </c>
      <c r="Z24">
        <f t="shared" si="11"/>
        <v>0</v>
      </c>
      <c r="AA24">
        <f t="shared" si="26"/>
        <v>1</v>
      </c>
      <c r="AB24" s="100">
        <f t="shared" si="27"/>
        <v>1.1547005383792515</v>
      </c>
      <c r="AC24" s="100">
        <f t="shared" si="28"/>
        <v>0</v>
      </c>
      <c r="AD24" t="str">
        <f t="shared" si="29"/>
        <v>Sodicgedrite</v>
      </c>
      <c r="AE24">
        <f t="shared" si="12"/>
        <v>0.66666666666666663</v>
      </c>
      <c r="AF24">
        <f t="shared" si="13"/>
        <v>0.33333333333333331</v>
      </c>
      <c r="AG24">
        <f t="shared" si="14"/>
        <v>0</v>
      </c>
      <c r="AH24">
        <f t="shared" si="30"/>
        <v>1</v>
      </c>
      <c r="AI24" s="100">
        <f t="shared" si="31"/>
        <v>0.38490017945975047</v>
      </c>
      <c r="AJ24" s="100">
        <f t="shared" si="32"/>
        <v>0</v>
      </c>
      <c r="AK24" t="str">
        <f t="shared" si="33"/>
        <v>Sodicgedrite</v>
      </c>
      <c r="AL24">
        <f t="shared" si="15"/>
        <v>0</v>
      </c>
      <c r="AM24">
        <f t="shared" si="16"/>
        <v>1</v>
      </c>
      <c r="AN24">
        <f t="shared" si="17"/>
        <v>0</v>
      </c>
      <c r="AO24">
        <f t="shared" si="34"/>
        <v>1</v>
      </c>
      <c r="AP24" s="100">
        <f t="shared" si="35"/>
        <v>1.1547005383792515</v>
      </c>
      <c r="AQ24" s="100">
        <f t="shared" si="36"/>
        <v>0</v>
      </c>
      <c r="AS24">
        <f t="shared" si="18"/>
        <v>0</v>
      </c>
      <c r="AT24">
        <f t="shared" si="19"/>
        <v>0</v>
      </c>
      <c r="AU24">
        <f t="shared" si="20"/>
        <v>1</v>
      </c>
      <c r="AV24">
        <f t="shared" si="37"/>
        <v>1</v>
      </c>
      <c r="AW24" s="100">
        <f t="shared" si="38"/>
        <v>0.57735026918962573</v>
      </c>
      <c r="AX24" s="100">
        <f t="shared" si="39"/>
        <v>1</v>
      </c>
      <c r="AY24" s="107" t="s">
        <v>198</v>
      </c>
      <c r="AZ24" s="100">
        <f t="shared" si="40"/>
        <v>0</v>
      </c>
      <c r="BA24" s="100">
        <f t="shared" si="41"/>
        <v>0</v>
      </c>
      <c r="BB24" s="100">
        <f t="shared" si="42"/>
        <v>1</v>
      </c>
      <c r="BC24" s="100">
        <f t="shared" si="43"/>
        <v>1</v>
      </c>
      <c r="BD24" s="100">
        <f t="shared" si="44"/>
        <v>0.57735026918962573</v>
      </c>
      <c r="BE24" s="100">
        <f t="shared" si="45"/>
        <v>1</v>
      </c>
      <c r="BF24" s="130" t="str">
        <f t="shared" si="46"/>
        <v>Sodicgedrite</v>
      </c>
      <c r="BG24">
        <f t="shared" si="47"/>
        <v>0</v>
      </c>
      <c r="BH24" s="67">
        <f t="shared" si="48"/>
        <v>0</v>
      </c>
      <c r="BI24">
        <f t="shared" si="49"/>
        <v>1</v>
      </c>
      <c r="BJ24">
        <f t="shared" si="50"/>
        <v>1</v>
      </c>
      <c r="BK24" s="100">
        <f t="shared" si="51"/>
        <v>0.57735026918962573</v>
      </c>
      <c r="BL24" s="100">
        <f t="shared" si="52"/>
        <v>1</v>
      </c>
      <c r="BM24" s="130" t="str">
        <f t="shared" si="53"/>
        <v>Sodicgedrite</v>
      </c>
      <c r="BN24">
        <f t="shared" si="54"/>
        <v>0</v>
      </c>
      <c r="BO24" s="67">
        <f t="shared" si="55"/>
        <v>0</v>
      </c>
      <c r="BP24">
        <f t="shared" si="56"/>
        <v>1</v>
      </c>
      <c r="BQ24">
        <f t="shared" si="57"/>
        <v>1</v>
      </c>
      <c r="BR24" s="100">
        <f t="shared" si="58"/>
        <v>0.57735026918962573</v>
      </c>
      <c r="BS24" s="100">
        <f t="shared" si="59"/>
        <v>1</v>
      </c>
      <c r="BT24" s="130" t="str">
        <f t="shared" si="60"/>
        <v>Sodicgedrite</v>
      </c>
      <c r="BU24" s="3">
        <f t="shared" si="61"/>
        <v>0</v>
      </c>
      <c r="BV24" s="92">
        <f t="shared" si="62"/>
        <v>0.66666666666666663</v>
      </c>
      <c r="BW24" s="3">
        <f t="shared" si="63"/>
        <v>0.33333333333333331</v>
      </c>
      <c r="BX24">
        <f t="shared" si="64"/>
        <v>1</v>
      </c>
      <c r="BY24" s="100">
        <f t="shared" si="65"/>
        <v>0.96225044864937614</v>
      </c>
      <c r="BZ24" s="100">
        <f t="shared" si="66"/>
        <v>0.33333333333333331</v>
      </c>
      <c r="CB24" s="103">
        <f>'Amphibole P-T calcs'!EU24</f>
        <v>5.9363003639637091</v>
      </c>
      <c r="CC24" s="103">
        <f>'Amphibole P-T calcs'!EV24</f>
        <v>0.22748539477288532</v>
      </c>
      <c r="CD24" s="103">
        <f>'Amphibole P-T calcs'!EW24</f>
        <v>2.5726879645783014</v>
      </c>
      <c r="CE24" s="103">
        <f>'Amphibole P-T calcs'!EX24</f>
        <v>1.1837487142354255E-3</v>
      </c>
      <c r="CF24" s="103">
        <f>'Amphibole P-T calcs'!EY24</f>
        <v>0</v>
      </c>
      <c r="CG24" s="103">
        <f>'Amphibole P-T calcs'!EZ24</f>
        <v>1.5350380310457696</v>
      </c>
      <c r="CH24" s="103">
        <f>'Amphibole P-T calcs'!FA24</f>
        <v>1.6485463223329458E-2</v>
      </c>
      <c r="CI24" s="103">
        <f>'Amphibole P-T calcs'!FB24</f>
        <v>2.9216007520329099</v>
      </c>
      <c r="CJ24" s="103">
        <f>'Amphibole P-T calcs'!FC24</f>
        <v>1.9185670940745094</v>
      </c>
      <c r="CK24" s="103">
        <f>'Amphibole P-T calcs'!FD24</f>
        <v>0.61830024187450094</v>
      </c>
      <c r="CL24" s="103">
        <f>'Amphibole P-T calcs'!FE24</f>
        <v>0.2215589025484869</v>
      </c>
      <c r="CM24">
        <f t="shared" si="67"/>
        <v>4.4731242463020084</v>
      </c>
      <c r="CN24">
        <f t="shared" si="68"/>
        <v>15.951538744891073</v>
      </c>
      <c r="CO24">
        <f t="shared" si="69"/>
        <v>13.210781718331139</v>
      </c>
      <c r="CQ24">
        <f t="shared" si="70"/>
        <v>0.375</v>
      </c>
      <c r="CR24">
        <f t="shared" si="71"/>
        <v>0</v>
      </c>
      <c r="CS24">
        <f t="shared" si="72"/>
        <v>0.1875</v>
      </c>
      <c r="CT24">
        <f t="shared" si="73"/>
        <v>0.375</v>
      </c>
      <c r="CU24">
        <v>0</v>
      </c>
      <c r="CV24">
        <f t="shared" si="74"/>
        <v>0</v>
      </c>
      <c r="CW24">
        <f t="shared" si="74"/>
        <v>6.25E-2</v>
      </c>
      <c r="CX24">
        <f t="shared" si="74"/>
        <v>0</v>
      </c>
      <c r="CY24" s="3">
        <f t="shared" si="75"/>
        <v>1</v>
      </c>
      <c r="DA24" t="s">
        <v>198</v>
      </c>
      <c r="DB24" t="s">
        <v>199</v>
      </c>
      <c r="DC24">
        <v>6</v>
      </c>
      <c r="DD24">
        <v>0</v>
      </c>
      <c r="DE24">
        <v>3</v>
      </c>
      <c r="DF24">
        <v>6</v>
      </c>
      <c r="DG24">
        <v>0</v>
      </c>
      <c r="DH24">
        <v>1</v>
      </c>
      <c r="DI24">
        <v>0</v>
      </c>
      <c r="DJ24">
        <f t="shared" si="21"/>
        <v>16</v>
      </c>
    </row>
    <row r="25" spans="1:114" ht="15.5" x14ac:dyDescent="0.35">
      <c r="A25" t="s">
        <v>209</v>
      </c>
      <c r="B25" t="s">
        <v>199</v>
      </c>
      <c r="D25" s="108">
        <f t="shared" si="1"/>
        <v>0.2857142857142857</v>
      </c>
      <c r="E25" s="108">
        <f t="shared" si="2"/>
        <v>0</v>
      </c>
      <c r="F25" s="108">
        <f t="shared" si="3"/>
        <v>0</v>
      </c>
      <c r="G25" s="108">
        <f t="shared" si="4"/>
        <v>0.2857142857142857</v>
      </c>
      <c r="H25" s="108">
        <f t="shared" si="5"/>
        <v>0.14285714285714285</v>
      </c>
      <c r="I25" s="108">
        <f t="shared" si="6"/>
        <v>0.2857142857142857</v>
      </c>
      <c r="J25" s="108">
        <f t="shared" si="7"/>
        <v>0</v>
      </c>
      <c r="K25" s="108">
        <f t="shared" si="8"/>
        <v>-1.9825411154020653E-17</v>
      </c>
      <c r="L25" s="3">
        <f t="shared" si="22"/>
        <v>0.99999999999999989</v>
      </c>
      <c r="M25" s="107" t="str">
        <f t="shared" si="23"/>
        <v>K-gedrite</v>
      </c>
      <c r="N25" s="108">
        <f t="array" ref="N25:U25">MMULT(CQ25:CX25,$U$3:$AB$10)</f>
        <v>6.25E-2</v>
      </c>
      <c r="O25" s="108">
        <v>0</v>
      </c>
      <c r="P25" s="108">
        <v>0</v>
      </c>
      <c r="Q25" s="108">
        <v>6.25E-2</v>
      </c>
      <c r="R25" s="108">
        <v>3.125E-2</v>
      </c>
      <c r="S25" s="108">
        <v>6.25E-2</v>
      </c>
      <c r="T25" s="108">
        <v>0</v>
      </c>
      <c r="U25" s="108">
        <v>-4.3368086899420177E-18</v>
      </c>
      <c r="V25" s="108">
        <f t="shared" si="24"/>
        <v>0.21875</v>
      </c>
      <c r="W25" t="str">
        <f t="shared" si="25"/>
        <v>K-gedrite</v>
      </c>
      <c r="X25">
        <f t="shared" si="9"/>
        <v>0</v>
      </c>
      <c r="Y25">
        <f t="shared" si="10"/>
        <v>0.5</v>
      </c>
      <c r="Z25">
        <f t="shared" si="11"/>
        <v>0.5</v>
      </c>
      <c r="AA25">
        <f t="shared" si="26"/>
        <v>1</v>
      </c>
      <c r="AB25" s="100">
        <f t="shared" si="27"/>
        <v>0.8660254037844386</v>
      </c>
      <c r="AC25" s="100">
        <f t="shared" si="28"/>
        <v>0.5</v>
      </c>
      <c r="AD25" t="str">
        <f t="shared" si="29"/>
        <v>K-gedrite</v>
      </c>
      <c r="AE25">
        <f t="shared" si="12"/>
        <v>0.4</v>
      </c>
      <c r="AF25">
        <f t="shared" si="13"/>
        <v>0.2</v>
      </c>
      <c r="AG25">
        <f t="shared" si="14"/>
        <v>0.4</v>
      </c>
      <c r="AH25">
        <f t="shared" si="30"/>
        <v>1</v>
      </c>
      <c r="AI25" s="100">
        <f t="shared" si="31"/>
        <v>0.4618802153517006</v>
      </c>
      <c r="AJ25" s="100">
        <f t="shared" si="32"/>
        <v>0.4</v>
      </c>
      <c r="AK25" t="str">
        <f t="shared" si="33"/>
        <v>K-gedrite</v>
      </c>
      <c r="AL25">
        <f t="shared" si="15"/>
        <v>0</v>
      </c>
      <c r="AM25">
        <f t="shared" si="16"/>
        <v>0.5</v>
      </c>
      <c r="AN25">
        <f t="shared" si="17"/>
        <v>0.5</v>
      </c>
      <c r="AO25">
        <f t="shared" si="34"/>
        <v>1</v>
      </c>
      <c r="AP25" s="100">
        <f t="shared" si="35"/>
        <v>0.8660254037844386</v>
      </c>
      <c r="AQ25" s="100">
        <f t="shared" si="36"/>
        <v>0.5</v>
      </c>
      <c r="AS25">
        <f t="shared" si="18"/>
        <v>0</v>
      </c>
      <c r="AT25">
        <f t="shared" si="19"/>
        <v>0</v>
      </c>
      <c r="AU25">
        <f t="shared" si="20"/>
        <v>1</v>
      </c>
      <c r="AV25">
        <f t="shared" si="37"/>
        <v>1</v>
      </c>
      <c r="AW25" s="100">
        <f t="shared" si="38"/>
        <v>0.57735026918962573</v>
      </c>
      <c r="AX25" s="100">
        <f t="shared" si="39"/>
        <v>1</v>
      </c>
      <c r="AY25" s="107" t="s">
        <v>209</v>
      </c>
      <c r="AZ25" s="100">
        <f t="shared" si="40"/>
        <v>0</v>
      </c>
      <c r="BA25" s="100">
        <f t="shared" si="41"/>
        <v>0</v>
      </c>
      <c r="BB25" s="100">
        <f t="shared" si="42"/>
        <v>1</v>
      </c>
      <c r="BC25" s="100">
        <f t="shared" si="43"/>
        <v>1</v>
      </c>
      <c r="BD25" s="100">
        <f t="shared" si="44"/>
        <v>0.57735026918962573</v>
      </c>
      <c r="BE25" s="100">
        <f t="shared" si="45"/>
        <v>1</v>
      </c>
      <c r="BF25" s="130" t="str">
        <f t="shared" si="46"/>
        <v>K-gedrite</v>
      </c>
      <c r="BG25">
        <f t="shared" si="47"/>
        <v>0</v>
      </c>
      <c r="BH25" s="67">
        <f t="shared" si="48"/>
        <v>0</v>
      </c>
      <c r="BI25">
        <f t="shared" si="49"/>
        <v>1</v>
      </c>
      <c r="BJ25">
        <f t="shared" si="50"/>
        <v>1</v>
      </c>
      <c r="BK25" s="100">
        <f t="shared" si="51"/>
        <v>0.57735026918962573</v>
      </c>
      <c r="BL25" s="100">
        <f t="shared" si="52"/>
        <v>1</v>
      </c>
      <c r="BM25" s="130" t="str">
        <f t="shared" si="53"/>
        <v>K-gedrite</v>
      </c>
      <c r="BN25">
        <f t="shared" si="54"/>
        <v>0</v>
      </c>
      <c r="BO25" s="67">
        <f t="shared" si="55"/>
        <v>0.66666666666666663</v>
      </c>
      <c r="BP25">
        <f t="shared" si="56"/>
        <v>0.33333333333333331</v>
      </c>
      <c r="BQ25">
        <f t="shared" si="57"/>
        <v>1</v>
      </c>
      <c r="BR25" s="100">
        <f t="shared" si="58"/>
        <v>0.96225044864937614</v>
      </c>
      <c r="BS25" s="100">
        <f t="shared" si="59"/>
        <v>0.33333333333333331</v>
      </c>
      <c r="BT25" s="130" t="str">
        <f t="shared" si="60"/>
        <v>K-gedrite</v>
      </c>
      <c r="BU25" s="3">
        <f t="shared" si="61"/>
        <v>0</v>
      </c>
      <c r="BV25" s="92">
        <f t="shared" si="62"/>
        <v>0.66666666666666663</v>
      </c>
      <c r="BW25" s="3">
        <f t="shared" si="63"/>
        <v>0.33333333333333331</v>
      </c>
      <c r="BX25">
        <f t="shared" si="64"/>
        <v>1</v>
      </c>
      <c r="BY25" s="100">
        <f t="shared" si="65"/>
        <v>0.96225044864937614</v>
      </c>
      <c r="BZ25" s="100">
        <f t="shared" si="66"/>
        <v>0.33333333333333331</v>
      </c>
      <c r="CB25" s="103">
        <f>'Amphibole P-T calcs'!EU25</f>
        <v>5.9976399915045828</v>
      </c>
      <c r="CC25" s="103">
        <f>'Amphibole P-T calcs'!EV25</f>
        <v>0.20899939610846671</v>
      </c>
      <c r="CD25" s="103">
        <f>'Amphibole P-T calcs'!EW25</f>
        <v>2.5980549817248257</v>
      </c>
      <c r="CE25" s="103">
        <f>'Amphibole P-T calcs'!EX25</f>
        <v>0</v>
      </c>
      <c r="CF25" s="103">
        <f>'Amphibole P-T calcs'!EY25</f>
        <v>0</v>
      </c>
      <c r="CG25" s="103">
        <f>'Amphibole P-T calcs'!EZ25</f>
        <v>1.5045983739613247</v>
      </c>
      <c r="CH25" s="103">
        <f>'Amphibole P-T calcs'!FA25</f>
        <v>0</v>
      </c>
      <c r="CI25" s="103">
        <f>'Amphibole P-T calcs'!FB25</f>
        <v>2.8697433917643247</v>
      </c>
      <c r="CJ25" s="103">
        <f>'Amphibole P-T calcs'!FC25</f>
        <v>1.9178236466992085</v>
      </c>
      <c r="CK25" s="103">
        <f>'Amphibole P-T calcs'!FD25</f>
        <v>0.58931746241497318</v>
      </c>
      <c r="CL25" s="103">
        <f>'Amphibole P-T calcs'!FE25</f>
        <v>0.20562921710863655</v>
      </c>
      <c r="CM25">
        <f t="shared" si="67"/>
        <v>4.3743417657256494</v>
      </c>
      <c r="CN25">
        <f t="shared" si="68"/>
        <v>15.891806461286341</v>
      </c>
      <c r="CO25">
        <f t="shared" si="69"/>
        <v>13.179036135063523</v>
      </c>
      <c r="CQ25">
        <f t="shared" si="70"/>
        <v>0.375</v>
      </c>
      <c r="CR25">
        <f t="shared" si="71"/>
        <v>0</v>
      </c>
      <c r="CS25">
        <f t="shared" si="72"/>
        <v>0.1875</v>
      </c>
      <c r="CT25">
        <f t="shared" si="73"/>
        <v>0.375</v>
      </c>
      <c r="CU25">
        <v>0</v>
      </c>
      <c r="CV25">
        <f t="shared" si="74"/>
        <v>0</v>
      </c>
      <c r="CW25">
        <f t="shared" si="74"/>
        <v>0</v>
      </c>
      <c r="CX25">
        <f t="shared" si="74"/>
        <v>6.25E-2</v>
      </c>
      <c r="CY25" s="3">
        <f t="shared" si="75"/>
        <v>1</v>
      </c>
      <c r="DA25" t="s">
        <v>209</v>
      </c>
      <c r="DB25" t="s">
        <v>199</v>
      </c>
      <c r="DC25">
        <v>6</v>
      </c>
      <c r="DD25">
        <v>0</v>
      </c>
      <c r="DE25">
        <v>3</v>
      </c>
      <c r="DF25">
        <v>6</v>
      </c>
      <c r="DG25">
        <v>0</v>
      </c>
      <c r="DH25">
        <v>0</v>
      </c>
      <c r="DI25">
        <v>1</v>
      </c>
      <c r="DJ25">
        <f t="shared" si="21"/>
        <v>16</v>
      </c>
    </row>
    <row r="26" spans="1:114" ht="15.5" x14ac:dyDescent="0.35">
      <c r="A26" t="s">
        <v>210</v>
      </c>
      <c r="B26" t="s">
        <v>211</v>
      </c>
      <c r="D26" s="108">
        <f t="shared" si="1"/>
        <v>-4.6259292692714858E-17</v>
      </c>
      <c r="E26" s="108">
        <f t="shared" si="2"/>
        <v>0.33333333333333331</v>
      </c>
      <c r="F26" s="108">
        <f t="shared" si="3"/>
        <v>0</v>
      </c>
      <c r="G26" s="108">
        <f t="shared" si="4"/>
        <v>0</v>
      </c>
      <c r="H26" s="108">
        <f t="shared" si="5"/>
        <v>0.33333333333333331</v>
      </c>
      <c r="I26" s="108">
        <f t="shared" si="6"/>
        <v>0.33333333333333331</v>
      </c>
      <c r="J26" s="108">
        <f t="shared" si="7"/>
        <v>0</v>
      </c>
      <c r="K26" s="108">
        <f t="shared" si="8"/>
        <v>-4.6259292692714853E-18</v>
      </c>
      <c r="L26" s="3">
        <f t="shared" si="22"/>
        <v>0.99999999999999978</v>
      </c>
      <c r="M26" s="107" t="str">
        <f t="shared" si="23"/>
        <v>Sadanagite</v>
      </c>
      <c r="N26" s="108">
        <f t="array" ref="N26:U26">MMULT(CQ26:CX26,$U$3:$AB$10)</f>
        <v>-8.6736173798840355E-18</v>
      </c>
      <c r="O26" s="108">
        <v>6.25E-2</v>
      </c>
      <c r="P26" s="108">
        <v>0</v>
      </c>
      <c r="Q26" s="108">
        <v>0</v>
      </c>
      <c r="R26" s="108">
        <v>6.25E-2</v>
      </c>
      <c r="S26" s="108">
        <v>6.25E-2</v>
      </c>
      <c r="T26" s="108">
        <v>0</v>
      </c>
      <c r="U26" s="108">
        <v>-8.6736173798840355E-19</v>
      </c>
      <c r="V26" s="108">
        <f t="shared" si="24"/>
        <v>0.1875</v>
      </c>
      <c r="W26" t="str">
        <f t="shared" si="25"/>
        <v>Sadanagite</v>
      </c>
      <c r="X26">
        <f t="shared" si="9"/>
        <v>0.5</v>
      </c>
      <c r="Y26">
        <f t="shared" si="10"/>
        <v>0.5</v>
      </c>
      <c r="Z26">
        <f t="shared" si="11"/>
        <v>0</v>
      </c>
      <c r="AA26">
        <f t="shared" si="26"/>
        <v>1</v>
      </c>
      <c r="AB26" s="100">
        <f t="shared" si="27"/>
        <v>0.57735026918962573</v>
      </c>
      <c r="AC26" s="100">
        <f t="shared" si="28"/>
        <v>0</v>
      </c>
      <c r="AD26" t="str">
        <f t="shared" si="29"/>
        <v>Sadanagite</v>
      </c>
      <c r="AE26">
        <f t="shared" si="12"/>
        <v>-1.3877787807814459E-16</v>
      </c>
      <c r="AF26">
        <f t="shared" si="13"/>
        <v>1</v>
      </c>
      <c r="AG26">
        <f t="shared" si="14"/>
        <v>0</v>
      </c>
      <c r="AH26">
        <f t="shared" si="30"/>
        <v>0.99999999999999989</v>
      </c>
      <c r="AI26" s="100">
        <f t="shared" si="31"/>
        <v>1.1547005383792515</v>
      </c>
      <c r="AJ26" s="100">
        <f t="shared" si="32"/>
        <v>0</v>
      </c>
      <c r="AK26" t="str">
        <f t="shared" si="33"/>
        <v>Sadanagite</v>
      </c>
      <c r="AL26">
        <f t="shared" si="15"/>
        <v>1</v>
      </c>
      <c r="AM26">
        <f t="shared" si="16"/>
        <v>-1.3877787807814459E-16</v>
      </c>
      <c r="AN26">
        <f t="shared" si="17"/>
        <v>0</v>
      </c>
      <c r="AO26">
        <f t="shared" si="34"/>
        <v>0.99999999999999989</v>
      </c>
      <c r="AP26" s="100">
        <f t="shared" si="35"/>
        <v>-1.6024689053196368E-16</v>
      </c>
      <c r="AQ26" s="100">
        <f t="shared" si="36"/>
        <v>0</v>
      </c>
      <c r="AS26">
        <f t="shared" si="18"/>
        <v>0.5</v>
      </c>
      <c r="AT26">
        <f t="shared" si="19"/>
        <v>0</v>
      </c>
      <c r="AU26">
        <f t="shared" si="20"/>
        <v>0.5</v>
      </c>
      <c r="AV26">
        <f t="shared" si="37"/>
        <v>1</v>
      </c>
      <c r="AW26" s="100">
        <f t="shared" si="38"/>
        <v>0.28867513459481287</v>
      </c>
      <c r="AX26" s="100">
        <f t="shared" si="39"/>
        <v>0.5</v>
      </c>
      <c r="AY26" s="107" t="s">
        <v>210</v>
      </c>
      <c r="AZ26" s="100">
        <f t="shared" si="40"/>
        <v>0.5</v>
      </c>
      <c r="BA26" s="100">
        <f t="shared" si="41"/>
        <v>0</v>
      </c>
      <c r="BB26" s="100">
        <f t="shared" si="42"/>
        <v>0.5</v>
      </c>
      <c r="BC26" s="100">
        <f t="shared" si="43"/>
        <v>1</v>
      </c>
      <c r="BD26" s="100">
        <f t="shared" si="44"/>
        <v>0.28867513459481287</v>
      </c>
      <c r="BE26" s="100">
        <f t="shared" si="45"/>
        <v>0.5</v>
      </c>
      <c r="BF26" s="130" t="str">
        <f t="shared" si="46"/>
        <v>Sadanagite</v>
      </c>
      <c r="BG26">
        <f t="shared" si="47"/>
        <v>0.5</v>
      </c>
      <c r="BH26" s="67">
        <f t="shared" si="48"/>
        <v>0</v>
      </c>
      <c r="BI26">
        <f t="shared" si="49"/>
        <v>0.5</v>
      </c>
      <c r="BJ26">
        <f t="shared" si="50"/>
        <v>1</v>
      </c>
      <c r="BK26" s="100">
        <f t="shared" si="51"/>
        <v>0.28867513459481287</v>
      </c>
      <c r="BL26" s="100">
        <f t="shared" si="52"/>
        <v>0.5</v>
      </c>
      <c r="BM26" s="130" t="str">
        <f t="shared" si="53"/>
        <v>Sadanagite</v>
      </c>
      <c r="BN26">
        <f t="shared" si="54"/>
        <v>0.5</v>
      </c>
      <c r="BO26" s="67">
        <f t="shared" si="55"/>
        <v>0</v>
      </c>
      <c r="BP26">
        <f t="shared" si="56"/>
        <v>0.5</v>
      </c>
      <c r="BQ26">
        <f t="shared" si="57"/>
        <v>1</v>
      </c>
      <c r="BR26" s="100">
        <f t="shared" si="58"/>
        <v>0.28867513459481287</v>
      </c>
      <c r="BS26" s="100">
        <f t="shared" si="59"/>
        <v>0.5</v>
      </c>
      <c r="BT26" s="130" t="str">
        <f t="shared" si="60"/>
        <v>Sadanagite</v>
      </c>
      <c r="BU26" s="3">
        <f t="shared" si="61"/>
        <v>0.33333333333333331</v>
      </c>
      <c r="BV26" s="92">
        <f t="shared" si="62"/>
        <v>0.33333333333333331</v>
      </c>
      <c r="BW26" s="3">
        <f t="shared" si="63"/>
        <v>0.33333333333333331</v>
      </c>
      <c r="BX26">
        <f t="shared" si="64"/>
        <v>1</v>
      </c>
      <c r="BY26" s="100">
        <f t="shared" si="65"/>
        <v>0.57735026918962573</v>
      </c>
      <c r="BZ26" s="100">
        <f t="shared" si="66"/>
        <v>0.33333333333333331</v>
      </c>
      <c r="CB26" s="103">
        <f>'Amphibole P-T calcs'!EU26</f>
        <v>5.8626071425341255</v>
      </c>
      <c r="CC26" s="103">
        <f>'Amphibole P-T calcs'!EV26</f>
        <v>0.23313729596736371</v>
      </c>
      <c r="CD26" s="103">
        <f>'Amphibole P-T calcs'!EW26</f>
        <v>2.5622075346783761</v>
      </c>
      <c r="CE26" s="103">
        <f>'Amphibole P-T calcs'!EX26</f>
        <v>3.4678038117408991E-3</v>
      </c>
      <c r="CF26" s="103">
        <f>'Amphibole P-T calcs'!EY26</f>
        <v>0</v>
      </c>
      <c r="CG26" s="103">
        <f>'Amphibole P-T calcs'!EZ26</f>
        <v>1.6016724661605386</v>
      </c>
      <c r="CH26" s="103">
        <f>'Amphibole P-T calcs'!FA26</f>
        <v>3.2196220654313962E-2</v>
      </c>
      <c r="CI26" s="103">
        <f>'Amphibole P-T calcs'!FB26</f>
        <v>2.9488505471499216</v>
      </c>
      <c r="CJ26" s="103">
        <f>'Amphibole P-T calcs'!FC26</f>
        <v>1.9267468954848659</v>
      </c>
      <c r="CK26" s="103">
        <f>'Amphibole P-T calcs'!FD26</f>
        <v>0.66046449904854387</v>
      </c>
      <c r="CL26" s="103">
        <f>'Amphibole P-T calcs'!FE26</f>
        <v>0.2405994725758698</v>
      </c>
      <c r="CM26">
        <f t="shared" si="67"/>
        <v>4.5827192339647738</v>
      </c>
      <c r="CN26">
        <f t="shared" si="68"/>
        <v>16.036285853599608</v>
      </c>
      <c r="CO26">
        <f t="shared" si="69"/>
        <v>13.244139010956381</v>
      </c>
      <c r="CQ26">
        <f t="shared" si="70"/>
        <v>0.3125</v>
      </c>
      <c r="CR26">
        <f t="shared" si="71"/>
        <v>0</v>
      </c>
      <c r="CS26">
        <f t="shared" si="72"/>
        <v>0.3125</v>
      </c>
      <c r="CT26">
        <f t="shared" si="73"/>
        <v>0.1875</v>
      </c>
      <c r="CU26">
        <v>0</v>
      </c>
      <c r="CV26">
        <f t="shared" si="74"/>
        <v>0.125</v>
      </c>
      <c r="CW26">
        <f t="shared" si="74"/>
        <v>6.25E-2</v>
      </c>
      <c r="CX26">
        <f t="shared" si="74"/>
        <v>0</v>
      </c>
      <c r="CY26" s="3">
        <f t="shared" si="75"/>
        <v>1</v>
      </c>
      <c r="DA26" t="s">
        <v>210</v>
      </c>
      <c r="DB26" t="s">
        <v>211</v>
      </c>
      <c r="DC26">
        <v>5</v>
      </c>
      <c r="DD26">
        <v>0</v>
      </c>
      <c r="DE26">
        <v>5</v>
      </c>
      <c r="DF26">
        <v>3</v>
      </c>
      <c r="DG26">
        <v>2</v>
      </c>
      <c r="DH26">
        <v>1</v>
      </c>
      <c r="DI26">
        <v>0</v>
      </c>
      <c r="DJ26">
        <f t="shared" si="21"/>
        <v>16</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Charts</vt:lpstr>
      </vt:variant>
      <vt:variant>
        <vt:i4>9</vt:i4>
      </vt:variant>
    </vt:vector>
  </HeadingPairs>
  <TitlesOfParts>
    <vt:vector size="13" baseType="lpstr">
      <vt:lpstr>Instructions</vt:lpstr>
      <vt:lpstr>Amphibole P-T calcs</vt:lpstr>
      <vt:lpstr>Amph exchg components</vt:lpstr>
      <vt:lpstr>End-member comp calcs</vt:lpstr>
      <vt:lpstr>Amph Class. Leake et al.</vt:lpstr>
      <vt:lpstr>Tri Plot 1</vt:lpstr>
      <vt:lpstr>Tri Plot 2</vt:lpstr>
      <vt:lpstr>Tri Plot 3</vt:lpstr>
      <vt:lpstr>Tri Plot 4</vt:lpstr>
      <vt:lpstr>Tri Plot 5</vt:lpstr>
      <vt:lpstr>Tri Plot 6</vt:lpstr>
      <vt:lpstr>Tri Plot 7</vt:lpstr>
      <vt:lpstr>Tri Plot 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Sieumuoi Taing</dc:creator>
  <cp:lastModifiedBy>Thomas Sheldrick</cp:lastModifiedBy>
  <cp:lastPrinted>2015-12-03T03:21:15Z</cp:lastPrinted>
  <dcterms:created xsi:type="dcterms:W3CDTF">2012-01-06T23:44:40Z</dcterms:created>
  <dcterms:modified xsi:type="dcterms:W3CDTF">2021-06-23T06:28:03Z</dcterms:modified>
</cp:coreProperties>
</file>